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bthe\Nextcloud\Partages\APPROCHE-Paille\11- Auto constructeurs\Bareme\"/>
    </mc:Choice>
  </mc:AlternateContent>
  <xr:revisionPtr revIDLastSave="0" documentId="8_{8AFDBFB7-5CF9-4407-985E-8B643674656E}" xr6:coauthVersionLast="47" xr6:coauthVersionMax="47" xr10:uidLastSave="{00000000-0000-0000-0000-000000000000}"/>
  <bookViews>
    <workbookView xWindow="-93" yWindow="-93" windowWidth="18426" windowHeight="11626" tabRatio="847" activeTab="4" xr2:uid="{00000000-000D-0000-FFFF-FFFF00000000}"/>
  </bookViews>
  <sheets>
    <sheet name="Informations Projet" sheetId="1" r:id="rId1"/>
    <sheet name="Le Mortier" sheetId="2" r:id="rId2"/>
    <sheet name="Le Bois" sheetId="3" r:id="rId3"/>
    <sheet name="La Paille &amp; la Quincaillerie " sheetId="4" r:id="rId4"/>
    <sheet name="Récapitulatif" sheetId="5" r:id="rId5"/>
    <sheet name="Menuiseries" sheetId="6" r:id="rId6"/>
    <sheet name="Feuil1" sheetId="8" state="hidden" r:id="rId7"/>
  </sheets>
  <definedNames>
    <definedName name="_xlnm.Print_Area" localSheetId="0">'Informations Projet'!$A$1:$O$68</definedName>
    <definedName name="_xlnm.Print_Area" localSheetId="3">'La Paille &amp; la Quincaillerie '!$A$1:$H$27</definedName>
    <definedName name="_xlnm.Print_Area" localSheetId="2">'Le Bois'!$A$1:$H$34</definedName>
    <definedName name="_xlnm.Print_Area" localSheetId="1">'Le Mortier'!$A$1:$L$22</definedName>
    <definedName name="_xlnm.Print_Area" localSheetId="5">Menuiseries!$A$1:$J$32</definedName>
    <definedName name="_xlnm.Print_Area" localSheetId="4">Récapitulatif!$A$1:$F$50</definedName>
  </definedNames>
  <calcPr calcId="191029"/>
</workbook>
</file>

<file path=xl/calcChain.xml><?xml version="1.0" encoding="utf-8"?>
<calcChain xmlns="http://schemas.openxmlformats.org/spreadsheetml/2006/main">
  <c r="F7" i="4" l="1"/>
  <c r="H30" i="8"/>
  <c r="E9" i="8"/>
  <c r="J28" i="8" s="1"/>
  <c r="E7" i="8"/>
  <c r="E8" i="8" s="1"/>
  <c r="H27" i="8" s="1"/>
  <c r="J27" i="8"/>
  <c r="C14" i="6"/>
  <c r="E15" i="6" s="1"/>
  <c r="C4" i="3" s="1"/>
  <c r="D28" i="3"/>
  <c r="E28" i="3" s="1"/>
  <c r="F28" i="3" s="1"/>
  <c r="G28" i="3" s="1"/>
  <c r="D22" i="6"/>
  <c r="F22" i="6"/>
  <c r="C29" i="6"/>
  <c r="H22" i="6"/>
  <c r="H23" i="6" s="1"/>
  <c r="H21" i="6"/>
  <c r="H20" i="6"/>
  <c r="H24" i="6"/>
  <c r="G22" i="6"/>
  <c r="G21" i="6"/>
  <c r="G24" i="6" s="1"/>
  <c r="G20" i="6"/>
  <c r="F21" i="6"/>
  <c r="F20" i="6"/>
  <c r="E22" i="6"/>
  <c r="E21" i="6"/>
  <c r="E20" i="6"/>
  <c r="E25" i="6" s="1"/>
  <c r="D21" i="6"/>
  <c r="D20" i="6"/>
  <c r="C22" i="6"/>
  <c r="C21" i="6"/>
  <c r="C24" i="6" s="1"/>
  <c r="C20" i="6"/>
  <c r="C25" i="6" s="1"/>
  <c r="F14" i="6"/>
  <c r="E14" i="6"/>
  <c r="D14" i="6"/>
  <c r="H7" i="6"/>
  <c r="H6" i="6"/>
  <c r="H5" i="6"/>
  <c r="G7" i="6"/>
  <c r="G6" i="6"/>
  <c r="G8" i="6" s="1"/>
  <c r="G5" i="6"/>
  <c r="G10" i="6" s="1"/>
  <c r="F7" i="6"/>
  <c r="F8" i="6" s="1"/>
  <c r="F6" i="6"/>
  <c r="F10" i="6" s="1"/>
  <c r="F5" i="6"/>
  <c r="E7" i="6"/>
  <c r="E6" i="6"/>
  <c r="E5" i="6"/>
  <c r="D7" i="6"/>
  <c r="D6" i="6"/>
  <c r="D5" i="6"/>
  <c r="C7" i="6"/>
  <c r="I7" i="6" s="1"/>
  <c r="C6" i="6"/>
  <c r="C5" i="6"/>
  <c r="E17" i="5"/>
  <c r="E16" i="5"/>
  <c r="E15" i="5"/>
  <c r="E14" i="5"/>
  <c r="E13" i="5"/>
  <c r="E7" i="4"/>
  <c r="D7" i="4"/>
  <c r="C5" i="4"/>
  <c r="D6" i="4" s="1"/>
  <c r="C7" i="4"/>
  <c r="D29" i="3"/>
  <c r="E29" i="3" s="1"/>
  <c r="F29" i="3" s="1"/>
  <c r="G29" i="3" s="1"/>
  <c r="D27" i="3"/>
  <c r="E27" i="3" s="1"/>
  <c r="F27" i="3" s="1"/>
  <c r="D24" i="3"/>
  <c r="E24" i="3" s="1"/>
  <c r="F24" i="3" s="1"/>
  <c r="G24" i="3" s="1"/>
  <c r="D23" i="3"/>
  <c r="E23" i="3" s="1"/>
  <c r="F23" i="3" s="1"/>
  <c r="D20" i="3"/>
  <c r="F20" i="3" s="1"/>
  <c r="D19" i="3"/>
  <c r="E19" i="3" s="1"/>
  <c r="F19" i="3" s="1"/>
  <c r="G19" i="3" s="1"/>
  <c r="D18" i="3"/>
  <c r="E18" i="3" s="1"/>
  <c r="F18" i="3" s="1"/>
  <c r="G18" i="3" s="1"/>
  <c r="D15" i="3"/>
  <c r="F15" i="3" s="1"/>
  <c r="D14" i="3"/>
  <c r="E14" i="3" s="1"/>
  <c r="F14" i="3" s="1"/>
  <c r="G14" i="3" s="1"/>
  <c r="D13" i="3"/>
  <c r="E13" i="3" s="1"/>
  <c r="F13" i="3" s="1"/>
  <c r="G13" i="3" s="1"/>
  <c r="D10" i="3"/>
  <c r="F10" i="3" s="1"/>
  <c r="D9" i="3"/>
  <c r="E13" i="2"/>
  <c r="I11" i="2"/>
  <c r="F33" i="3"/>
  <c r="C56" i="1"/>
  <c r="I8" i="2"/>
  <c r="H9" i="6" s="1"/>
  <c r="C13" i="2"/>
  <c r="C14" i="2"/>
  <c r="E14" i="2" s="1"/>
  <c r="C15" i="2"/>
  <c r="E15" i="2" s="1"/>
  <c r="F15" i="2" s="1"/>
  <c r="C16" i="2"/>
  <c r="E16" i="2"/>
  <c r="F16" i="2" s="1"/>
  <c r="E20" i="5"/>
  <c r="D8" i="3"/>
  <c r="E8" i="3" s="1"/>
  <c r="F8" i="3" s="1"/>
  <c r="G8" i="3" s="1"/>
  <c r="C36" i="5"/>
  <c r="E36" i="5" s="1"/>
  <c r="C37" i="5"/>
  <c r="E37" i="5" s="1"/>
  <c r="E32" i="1"/>
  <c r="C20" i="4"/>
  <c r="G20" i="4" s="1"/>
  <c r="C33" i="5" s="1"/>
  <c r="E33" i="5" s="1"/>
  <c r="C30" i="6"/>
  <c r="C31" i="6" s="1"/>
  <c r="D32" i="3" s="1"/>
  <c r="G32" i="3" s="1"/>
  <c r="G33" i="3" s="1"/>
  <c r="E10" i="8"/>
  <c r="H28" i="8" s="1"/>
  <c r="E10" i="6"/>
  <c r="F25" i="6"/>
  <c r="F24" i="6"/>
  <c r="E9" i="6"/>
  <c r="H25" i="6"/>
  <c r="H10" i="6"/>
  <c r="D23" i="6"/>
  <c r="D9" i="6" l="1"/>
  <c r="C6" i="4"/>
  <c r="F10" i="4"/>
  <c r="F21" i="3"/>
  <c r="G20" i="3"/>
  <c r="G21" i="3" s="1"/>
  <c r="E24" i="6"/>
  <c r="I22" i="6"/>
  <c r="D8" i="6"/>
  <c r="D10" i="6"/>
  <c r="G25" i="6"/>
  <c r="G9" i="6"/>
  <c r="E8" i="6"/>
  <c r="I6" i="6"/>
  <c r="G23" i="6"/>
  <c r="D25" i="6"/>
  <c r="I25" i="6" s="1"/>
  <c r="F23" i="6"/>
  <c r="H8" i="6"/>
  <c r="C9" i="6"/>
  <c r="C10" i="6"/>
  <c r="F6" i="4"/>
  <c r="E6" i="4"/>
  <c r="D10" i="4"/>
  <c r="I20" i="6"/>
  <c r="C8" i="6"/>
  <c r="I5" i="6"/>
  <c r="G27" i="3"/>
  <c r="G30" i="3" s="1"/>
  <c r="F30" i="3"/>
  <c r="I21" i="6"/>
  <c r="E23" i="6"/>
  <c r="D24" i="6"/>
  <c r="I24" i="6" s="1"/>
  <c r="C23" i="6"/>
  <c r="F25" i="3"/>
  <c r="G23" i="3"/>
  <c r="G25" i="3" s="1"/>
  <c r="E9" i="3"/>
  <c r="F9" i="3" s="1"/>
  <c r="G9" i="3" s="1"/>
  <c r="C21" i="4"/>
  <c r="G21" i="4" s="1"/>
  <c r="C32" i="5" s="1"/>
  <c r="E32" i="5" s="1"/>
  <c r="C24" i="4"/>
  <c r="G24" i="4" s="1"/>
  <c r="C35" i="5" s="1"/>
  <c r="E35" i="5" s="1"/>
  <c r="I7" i="2"/>
  <c r="I9" i="2" s="1"/>
  <c r="G7" i="4"/>
  <c r="C18" i="4" s="1"/>
  <c r="C38" i="5"/>
  <c r="E38" i="5" s="1"/>
  <c r="G15" i="3"/>
  <c r="G16" i="3" s="1"/>
  <c r="F16" i="3"/>
  <c r="G10" i="3"/>
  <c r="F9" i="6"/>
  <c r="I8" i="6" l="1"/>
  <c r="I23" i="6"/>
  <c r="I10" i="6"/>
  <c r="C8" i="4" s="1"/>
  <c r="G18" i="4"/>
  <c r="C31" i="5" s="1"/>
  <c r="E31" i="5" s="1"/>
  <c r="C10" i="4"/>
  <c r="G6" i="4"/>
  <c r="G11" i="3"/>
  <c r="C12" i="4"/>
  <c r="I9" i="6"/>
  <c r="E10" i="4"/>
  <c r="G10" i="4" s="1"/>
  <c r="C29" i="5" s="1"/>
  <c r="E29" i="5" s="1"/>
  <c r="C22" i="4"/>
  <c r="G22" i="4" s="1"/>
  <c r="C34" i="5" s="1"/>
  <c r="E34" i="5" s="1"/>
  <c r="F11" i="3"/>
  <c r="C24" i="5" s="1"/>
  <c r="E24" i="5" s="1"/>
  <c r="I10" i="2" l="1"/>
  <c r="I12" i="2" s="1"/>
  <c r="I18" i="2" s="1"/>
  <c r="J18" i="2" s="1"/>
  <c r="K18" i="2" s="1"/>
  <c r="C28" i="5" s="1"/>
  <c r="E28" i="5" s="1"/>
  <c r="I17" i="2"/>
  <c r="J17" i="2" s="1"/>
  <c r="K17" i="2" s="1"/>
  <c r="C27" i="5" s="1"/>
  <c r="E27" i="5" s="1"/>
  <c r="I16" i="2"/>
  <c r="J16" i="2" s="1"/>
  <c r="I15" i="2" l="1"/>
  <c r="C25" i="5" s="1"/>
  <c r="E25" i="5" s="1"/>
  <c r="C26" i="5"/>
  <c r="E26" i="5" s="1"/>
  <c r="E40" i="5" s="1"/>
  <c r="J1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000-000001000000}">
      <text>
        <r>
          <rPr>
            <b/>
            <i/>
            <sz val="9"/>
            <color indexed="8"/>
            <rFont val="Tahoma"/>
            <family val="2"/>
          </rPr>
          <t xml:space="preserve">La feuille de calcul ne permet pas le chiffrage de la toiture !
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B41" authorId="0" shapeId="0" xr:uid="{00000000-0006-0000-0000-000002000000}">
      <text>
        <r>
          <rPr>
            <b/>
            <i/>
            <sz val="9"/>
            <color indexed="8"/>
            <rFont val="Tahoma"/>
            <family val="2"/>
          </rPr>
          <t xml:space="preserve">Règle d'écartement des potelets:
 0,60 m
</t>
        </r>
      </text>
    </comment>
    <comment ref="B42" authorId="0" shapeId="0" xr:uid="{00000000-0006-0000-0000-000003000000}">
      <text>
        <r>
          <rPr>
            <b/>
            <i/>
            <sz val="9"/>
            <color indexed="8"/>
            <rFont val="Tahoma"/>
            <family val="2"/>
          </rPr>
          <t xml:space="preserve">Prendre la mesure entre le haut de la lisse basse et le bas de la traverse basse.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100-000001000000}">
      <text>
        <r>
          <rPr>
            <b/>
            <i/>
            <sz val="9"/>
            <color indexed="8"/>
            <rFont val="Tahoma"/>
            <family val="2"/>
          </rPr>
          <t xml:space="preserve">
Recette Originale :
1 chaux CL90 - 1 Ciment
Variante possible :
1,5 chaux NHL 3,5 et 0,5 ciment.
</t>
        </r>
        <r>
          <rPr>
            <sz val="9"/>
            <color indexed="8"/>
            <rFont val="Tahoma"/>
            <family val="2"/>
          </rPr>
          <t xml:space="preserve">
</t>
        </r>
      </text>
    </comment>
    <comment ref="D12" authorId="0" shapeId="0" xr:uid="{00000000-0006-0000-0100-000002000000}">
      <text>
        <r>
          <rPr>
            <b/>
            <i/>
            <sz val="9"/>
            <color indexed="8"/>
            <rFont val="Tahoma"/>
            <family val="2"/>
          </rPr>
          <t>Mesurer la masse d'un seau de 12l taré rempli à ras.
Masse volumique=masse/0,012.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8" authorId="0" shapeId="0" xr:uid="{00000000-0006-0000-0200-000001000000}">
      <text>
        <r>
          <rPr>
            <b/>
            <i/>
            <sz val="9"/>
            <color indexed="8"/>
            <rFont val="Tahoma"/>
            <family val="2"/>
          </rPr>
          <t xml:space="preserve">Hautes &amp; basses
Interieures &amp; extérieures
</t>
        </r>
        <r>
          <rPr>
            <b/>
            <sz val="9"/>
            <color indexed="8"/>
            <rFont val="Tahoma"/>
            <family val="2"/>
          </rPr>
          <t xml:space="preserve">
</t>
        </r>
      </text>
    </comment>
    <comment ref="B9" authorId="0" shapeId="0" xr:uid="{00000000-0006-0000-0200-000002000000}">
      <text>
        <r>
          <rPr>
            <b/>
            <i/>
            <sz val="9"/>
            <color indexed="8"/>
            <rFont val="Tahoma"/>
            <family val="2"/>
          </rPr>
          <t xml:space="preserve">Comprenant:
*poteaux
*colonnes d'appui
*poteaux d'angle
</t>
        </r>
      </text>
    </comment>
    <comment ref="B10" authorId="0" shapeId="0" xr:uid="{00000000-0006-0000-0200-000003000000}">
      <text>
        <r>
          <rPr>
            <b/>
            <i/>
            <sz val="9"/>
            <color indexed="8"/>
            <rFont val="Tahoma"/>
            <family val="2"/>
          </rPr>
          <t xml:space="preserve"> 1 pour 1 ml de mur
</t>
        </r>
      </text>
    </comment>
    <comment ref="B13" authorId="0" shapeId="0" xr:uid="{00000000-0006-0000-0200-000004000000}">
      <text>
        <r>
          <rPr>
            <b/>
            <i/>
            <sz val="9"/>
            <color indexed="8"/>
            <rFont val="Tahoma"/>
            <family val="2"/>
          </rPr>
          <t xml:space="preserve">Hautes &amp; basses
intérieures &amp; extérieures
</t>
        </r>
      </text>
    </comment>
    <comment ref="B14" authorId="0" shapeId="0" xr:uid="{00000000-0006-0000-0200-000005000000}">
      <text>
        <r>
          <rPr>
            <b/>
            <i/>
            <sz val="9"/>
            <color indexed="8"/>
            <rFont val="Tahoma"/>
            <family val="2"/>
          </rPr>
          <t xml:space="preserve">Comprenant:
*Poteaux d'angle
*Poteaux
*colonnes d'appui
</t>
        </r>
      </text>
    </comment>
    <comment ref="B15" authorId="0" shapeId="0" xr:uid="{00000000-0006-0000-0200-000006000000}">
      <text>
        <r>
          <rPr>
            <b/>
            <i/>
            <sz val="9"/>
            <color indexed="8"/>
            <rFont val="Tahoma"/>
            <family val="2"/>
          </rPr>
          <t xml:space="preserve"> 1 pour 1 ml de mur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0" authorId="0" shapeId="0" xr:uid="{00000000-0006-0000-0300-000001000000}">
      <text>
        <r>
          <rPr>
            <b/>
            <i/>
            <sz val="9"/>
            <color indexed="8"/>
            <rFont val="Tahoma"/>
            <family val="2"/>
          </rPr>
          <t xml:space="preserve">5x45, avec rondelles.
</t>
        </r>
      </text>
    </comment>
    <comment ref="B21" authorId="0" shapeId="0" xr:uid="{00000000-0006-0000-0300-000002000000}">
      <text>
        <r>
          <rPr>
            <b/>
            <i/>
            <sz val="9"/>
            <color indexed="8"/>
            <rFont val="Tahoma"/>
            <family val="2"/>
          </rPr>
          <t xml:space="preserve">5x80, tête fraisée.
</t>
        </r>
      </text>
    </comment>
    <comment ref="E24" authorId="0" shapeId="0" xr:uid="{00000000-0006-0000-0300-000003000000}">
      <text>
        <r>
          <rPr>
            <b/>
            <sz val="9"/>
            <color indexed="8"/>
            <rFont val="Tahoma"/>
            <family val="2"/>
          </rPr>
          <t xml:space="preserve">Clou 55*3 (tête large):
5kg=1380 clous
Clou 60*2,7:
5kg=1630 clous
</t>
        </r>
      </text>
    </comment>
    <comment ref="I24" authorId="0" shapeId="0" xr:uid="{00000000-0006-0000-0300-000004000000}">
      <text>
        <r>
          <rPr>
            <b/>
            <sz val="9"/>
            <color indexed="8"/>
            <rFont val="Tahoma"/>
            <family val="2"/>
          </rPr>
          <t xml:space="preserve">Clou 55*3 (tête large):
5kg=1380 clous
Clou 60*2,7:
5kg=1630 clous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6" authorId="0" shapeId="0" xr:uid="{00000000-0006-0000-0400-000001000000}">
      <text>
        <r>
          <rPr>
            <b/>
            <i/>
            <sz val="9"/>
            <color indexed="8"/>
            <rFont val="Tahoma"/>
            <family val="2"/>
          </rPr>
          <t xml:space="preserve">Chevilles pour la fixation des lisses basses au sol.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7" authorId="0" shapeId="0" xr:uid="{00000000-0006-0000-0500-000001000000}">
      <text>
        <r>
          <rPr>
            <sz val="9"/>
            <color indexed="8"/>
            <rFont val="Tahoma"/>
            <family val="2"/>
          </rPr>
          <t xml:space="preserve">Epaisseur du mur hors tout 
</t>
        </r>
      </text>
    </comment>
  </commentList>
</comments>
</file>

<file path=xl/sharedStrings.xml><?xml version="1.0" encoding="utf-8"?>
<sst xmlns="http://schemas.openxmlformats.org/spreadsheetml/2006/main" count="336" uniqueCount="205">
  <si>
    <t>RDC</t>
  </si>
  <si>
    <t xml:space="preserve">Cotes murs </t>
  </si>
  <si>
    <t>Colonnes &amp; poteaux d'angle</t>
  </si>
  <si>
    <t>Longueur ext (m)</t>
  </si>
  <si>
    <t>Nombre d'angles</t>
  </si>
  <si>
    <t>Hauteur (m)</t>
  </si>
  <si>
    <t xml:space="preserve">Nombre de colonnes d'appui prévues </t>
  </si>
  <si>
    <r>
      <t>1</t>
    </r>
    <r>
      <rPr>
        <b/>
        <i/>
        <vertAlign val="superscript"/>
        <sz val="12"/>
        <color indexed="8"/>
        <rFont val="Calibri"/>
        <family val="2"/>
      </rPr>
      <t>er</t>
    </r>
    <r>
      <rPr>
        <b/>
        <i/>
        <sz val="12"/>
        <color indexed="8"/>
        <rFont val="Calibri"/>
        <family val="2"/>
      </rPr>
      <t xml:space="preserve"> étage </t>
    </r>
  </si>
  <si>
    <r>
      <t xml:space="preserve">2 </t>
    </r>
    <r>
      <rPr>
        <b/>
        <i/>
        <vertAlign val="superscript"/>
        <sz val="12"/>
        <color indexed="8"/>
        <rFont val="Calibri"/>
        <family val="2"/>
      </rPr>
      <t>ème</t>
    </r>
    <r>
      <rPr>
        <b/>
        <i/>
        <sz val="12"/>
        <color indexed="8"/>
        <rFont val="Calibri"/>
        <family val="2"/>
      </rPr>
      <t xml:space="preserve"> étage</t>
    </r>
  </si>
  <si>
    <t>Pignons</t>
  </si>
  <si>
    <t>Si votre pignon est réalisé en GREB, remplir les cases suivantes.</t>
  </si>
  <si>
    <t xml:space="preserve">Hauteur </t>
  </si>
  <si>
    <t>Largeur de la base</t>
  </si>
  <si>
    <t>Fenêtres</t>
  </si>
  <si>
    <t>F. 1</t>
  </si>
  <si>
    <t>F. 2</t>
  </si>
  <si>
    <t>F. 3</t>
  </si>
  <si>
    <t>F. 4</t>
  </si>
  <si>
    <t>F. 5</t>
  </si>
  <si>
    <t>F. 6</t>
  </si>
  <si>
    <t>Largeur (m)</t>
  </si>
  <si>
    <t>Nombre de potelet(s)</t>
  </si>
  <si>
    <t>Allège (m)</t>
  </si>
  <si>
    <t xml:space="preserve">Nombre </t>
  </si>
  <si>
    <t>Portes ou portes fenêtres</t>
  </si>
  <si>
    <t>P. 1</t>
  </si>
  <si>
    <t>P. 2</t>
  </si>
  <si>
    <t>P. 3</t>
  </si>
  <si>
    <t>P. 4</t>
  </si>
  <si>
    <t>P. 5</t>
  </si>
  <si>
    <t>P. 6</t>
  </si>
  <si>
    <t>Nombre</t>
  </si>
  <si>
    <t>Partie 3: dimensions des ballots de paille</t>
  </si>
  <si>
    <t>Dimensions d'un ballot (m )</t>
  </si>
  <si>
    <t>L</t>
  </si>
  <si>
    <t>l</t>
  </si>
  <si>
    <t>h</t>
  </si>
  <si>
    <t>Surface d'une face d'un ballot (h*L)</t>
  </si>
  <si>
    <t>Partie 4: Dimensions des planches de coffrage</t>
  </si>
  <si>
    <t>Recette GREB</t>
  </si>
  <si>
    <t>Surface des murs (m²)</t>
  </si>
  <si>
    <t xml:space="preserve">Sciure </t>
  </si>
  <si>
    <t>Epaisseur estimée (m)</t>
  </si>
  <si>
    <t xml:space="preserve">Sable </t>
  </si>
  <si>
    <r>
      <t>Volume  brut (m</t>
    </r>
    <r>
      <rPr>
        <i/>
        <vertAlign val="superscript"/>
        <sz val="11"/>
        <color indexed="8"/>
        <rFont val="Calibri"/>
        <family val="2"/>
      </rPr>
      <t>3</t>
    </r>
    <r>
      <rPr>
        <i/>
        <sz val="11"/>
        <color indexed="8"/>
        <rFont val="Calibri"/>
        <family val="2"/>
      </rPr>
      <t>)</t>
    </r>
  </si>
  <si>
    <t xml:space="preserve">Chaux </t>
  </si>
  <si>
    <r>
      <t>Volume  net (m</t>
    </r>
    <r>
      <rPr>
        <i/>
        <vertAlign val="superscript"/>
        <sz val="11"/>
        <color indexed="8"/>
        <rFont val="Calibri"/>
        <family val="2"/>
      </rPr>
      <t>3</t>
    </r>
    <r>
      <rPr>
        <i/>
        <sz val="11"/>
        <color indexed="8"/>
        <rFont val="Calibri"/>
        <family val="2"/>
      </rPr>
      <t>)</t>
    </r>
  </si>
  <si>
    <t xml:space="preserve">Ciment </t>
  </si>
  <si>
    <r>
      <t>Remplissage entre lisses basses (m</t>
    </r>
    <r>
      <rPr>
        <i/>
        <vertAlign val="superscript"/>
        <sz val="11"/>
        <color indexed="8"/>
        <rFont val="Calibri"/>
        <family val="2"/>
      </rPr>
      <t>3</t>
    </r>
    <r>
      <rPr>
        <i/>
        <sz val="11"/>
        <color indexed="8"/>
        <rFont val="Calibri"/>
        <family val="2"/>
      </rPr>
      <t>)</t>
    </r>
  </si>
  <si>
    <t>Pour :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</si>
  <si>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de mortier</t>
    </r>
  </si>
  <si>
    <r>
      <t>Pour 1 m</t>
    </r>
    <r>
      <rPr>
        <b/>
        <i/>
        <vertAlign val="superscript"/>
        <sz val="11"/>
        <color indexed="8"/>
        <rFont val="Calibri"/>
        <family val="2"/>
      </rPr>
      <t xml:space="preserve">3 </t>
    </r>
    <r>
      <rPr>
        <b/>
        <i/>
        <sz val="11"/>
        <color indexed="8"/>
        <rFont val="Calibri"/>
        <family val="2"/>
      </rPr>
      <t>:</t>
    </r>
  </si>
  <si>
    <t>Materiaux</t>
  </si>
  <si>
    <r>
      <t>Volume (m</t>
    </r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de mortier)</t>
    </r>
  </si>
  <si>
    <t>Masse volumique ( kg/m3)</t>
  </si>
  <si>
    <r>
      <t>Masse / m</t>
    </r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 xml:space="preserve"> de mortier</t>
    </r>
  </si>
  <si>
    <t>Cond.(sac)</t>
  </si>
  <si>
    <r>
      <t>Volume (m</t>
    </r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>)</t>
    </r>
  </si>
  <si>
    <t>Poids (kg)</t>
  </si>
  <si>
    <t>Cond. ( sacs )</t>
  </si>
  <si>
    <t>-</t>
  </si>
  <si>
    <t>Sable</t>
  </si>
  <si>
    <t>Chaux</t>
  </si>
  <si>
    <t>Ciment</t>
  </si>
  <si>
    <t>Poids d'un sac de chaux (kg)</t>
  </si>
  <si>
    <t>Poids d'un sac de ciment (kg)</t>
  </si>
  <si>
    <t>Surface de murs (m²)</t>
  </si>
  <si>
    <t>Désignation</t>
  </si>
  <si>
    <t>Unité</t>
  </si>
  <si>
    <t>Quantité</t>
  </si>
  <si>
    <t>Quantité majorée</t>
  </si>
  <si>
    <r>
      <t>Cubage détaillé (m</t>
    </r>
    <r>
      <rPr>
        <i/>
        <vertAlign val="superscript"/>
        <sz val="10"/>
        <color indexed="8"/>
        <rFont val="Calibri"/>
        <family val="2"/>
      </rPr>
      <t>3</t>
    </r>
    <r>
      <rPr>
        <i/>
        <sz val="10"/>
        <color indexed="8"/>
        <rFont val="Calibri"/>
        <family val="2"/>
      </rPr>
      <t>)</t>
    </r>
  </si>
  <si>
    <t>Coût détaillé (€)</t>
  </si>
  <si>
    <t>Lisses</t>
  </si>
  <si>
    <t>ml</t>
  </si>
  <si>
    <t>Poteaux</t>
  </si>
  <si>
    <t>Entretoises</t>
  </si>
  <si>
    <t>Total</t>
  </si>
  <si>
    <r>
      <t>1</t>
    </r>
    <r>
      <rPr>
        <b/>
        <i/>
        <vertAlign val="superscript"/>
        <sz val="12"/>
        <color indexed="8"/>
        <rFont val="Calibri"/>
        <family val="2"/>
      </rPr>
      <t>er</t>
    </r>
    <r>
      <rPr>
        <b/>
        <i/>
        <sz val="12"/>
        <color indexed="8"/>
        <rFont val="Calibri"/>
        <family val="2"/>
      </rPr>
      <t xml:space="preserve"> étage</t>
    </r>
  </si>
  <si>
    <t xml:space="preserve">Entretoises </t>
  </si>
  <si>
    <r>
      <t>2</t>
    </r>
    <r>
      <rPr>
        <b/>
        <i/>
        <vertAlign val="superscript"/>
        <sz val="12"/>
        <color indexed="8"/>
        <rFont val="Calibri"/>
        <family val="2"/>
      </rPr>
      <t>ème</t>
    </r>
    <r>
      <rPr>
        <b/>
        <i/>
        <sz val="12"/>
        <color indexed="8"/>
        <rFont val="Calibri"/>
        <family val="2"/>
      </rPr>
      <t xml:space="preserve"> étage </t>
    </r>
  </si>
  <si>
    <t>Menuiseries</t>
  </si>
  <si>
    <t>Traverses fenêtres</t>
  </si>
  <si>
    <t>Potelets</t>
  </si>
  <si>
    <t>Montants fenêtres</t>
  </si>
  <si>
    <t>Coffrage</t>
  </si>
  <si>
    <t>Plaques</t>
  </si>
  <si>
    <t>U</t>
  </si>
  <si>
    <r>
      <t>1</t>
    </r>
    <r>
      <rPr>
        <b/>
        <i/>
        <vertAlign val="superscript"/>
        <sz val="11"/>
        <color indexed="8"/>
        <rFont val="Calibri"/>
        <family val="2"/>
      </rPr>
      <t>er</t>
    </r>
    <r>
      <rPr>
        <b/>
        <i/>
        <sz val="11"/>
        <color indexed="8"/>
        <rFont val="Calibri"/>
        <family val="2"/>
      </rPr>
      <t xml:space="preserve"> étage</t>
    </r>
  </si>
  <si>
    <r>
      <t>2</t>
    </r>
    <r>
      <rPr>
        <b/>
        <i/>
        <vertAlign val="superscript"/>
        <sz val="11"/>
        <color indexed="8"/>
        <rFont val="Calibri"/>
        <family val="2"/>
      </rPr>
      <t>ème</t>
    </r>
    <r>
      <rPr>
        <b/>
        <i/>
        <sz val="11"/>
        <color indexed="8"/>
        <rFont val="Calibri"/>
        <family val="2"/>
      </rPr>
      <t xml:space="preserve"> étage</t>
    </r>
  </si>
  <si>
    <t>Nombre de ballots par ml</t>
  </si>
  <si>
    <t>Nombre de ballots pour un rang</t>
  </si>
  <si>
    <t>Nombre de ballots sur la hauteur</t>
  </si>
  <si>
    <t>Nombre de ballots à déduire</t>
  </si>
  <si>
    <t>Designation</t>
  </si>
  <si>
    <t>Conditionnement</t>
  </si>
  <si>
    <t>Conditionnement proposé par APPROCHE-Paille</t>
  </si>
  <si>
    <t>Feuillard</t>
  </si>
  <si>
    <t>m/rouleau</t>
  </si>
  <si>
    <t>VIS</t>
  </si>
  <si>
    <t>U/Paquet</t>
  </si>
  <si>
    <t>Vis pour feuillard</t>
  </si>
  <si>
    <t>(paquets de 5kg)</t>
  </si>
  <si>
    <t>Prix (€)</t>
  </si>
  <si>
    <t>Sciure</t>
  </si>
  <si>
    <r>
      <t>/m</t>
    </r>
    <r>
      <rPr>
        <vertAlign val="superscript"/>
        <sz val="11"/>
        <color indexed="8"/>
        <rFont val="Calibri"/>
        <family val="2"/>
      </rPr>
      <t>3</t>
    </r>
  </si>
  <si>
    <t>/sac</t>
  </si>
  <si>
    <t>Bois</t>
  </si>
  <si>
    <t>Botte de paille</t>
  </si>
  <si>
    <t>/ botte</t>
  </si>
  <si>
    <t>Vis pour ossature</t>
  </si>
  <si>
    <t>/paquet de</t>
  </si>
  <si>
    <t>vis</t>
  </si>
  <si>
    <t>Vis pour coffrage</t>
  </si>
  <si>
    <t>Clous galvanisés</t>
  </si>
  <si>
    <t>clous</t>
  </si>
  <si>
    <t>/rouleau de</t>
  </si>
  <si>
    <t>m</t>
  </si>
  <si>
    <t>Goujons d'ancrage</t>
  </si>
  <si>
    <t>Rupture de capillarité</t>
  </si>
  <si>
    <t>/ml</t>
  </si>
  <si>
    <t>Plaques pour coffrage</t>
  </si>
  <si>
    <t xml:space="preserve">/plaque de </t>
  </si>
  <si>
    <t>2: Votre liste de courses !</t>
  </si>
  <si>
    <t>Bois d'ossature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</si>
  <si>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soit</t>
    </r>
  </si>
  <si>
    <t>sacs soit</t>
  </si>
  <si>
    <t>Ballots</t>
  </si>
  <si>
    <t>bottes soit</t>
  </si>
  <si>
    <t>Pensez à acheter, à l'agriculteur de la ficelle à ballot pour la découpe des bottes !</t>
  </si>
  <si>
    <t>rouleaux soit</t>
  </si>
  <si>
    <t>paquets soit</t>
  </si>
  <si>
    <t>Chevilles à frapper</t>
  </si>
  <si>
    <t>chevilles soit</t>
  </si>
  <si>
    <t>Bande de rupture de capillarité</t>
  </si>
  <si>
    <t>ml soit</t>
  </si>
  <si>
    <t>plaques soit</t>
  </si>
  <si>
    <t>Coût en matériaux pour la construction des murs GREB, hors parement et charpente !</t>
  </si>
  <si>
    <t>Have a nice GREB !</t>
  </si>
  <si>
    <t>Dimensions tableau des fenêtres</t>
  </si>
  <si>
    <t>Fenêtre 1</t>
  </si>
  <si>
    <t>Fenêtre 2</t>
  </si>
  <si>
    <t>Fenêtre 3</t>
  </si>
  <si>
    <t>Fenêtre 4</t>
  </si>
  <si>
    <t>Fenêtre 5</t>
  </si>
  <si>
    <t>Fenêtre 6</t>
  </si>
  <si>
    <t>Hauteur</t>
  </si>
  <si>
    <t>Largeur</t>
  </si>
  <si>
    <t xml:space="preserve">Profondeur du tableau </t>
  </si>
  <si>
    <t>totaux</t>
  </si>
  <si>
    <r>
      <t>Volume de mortier à ajouter (m</t>
    </r>
    <r>
      <rPr>
        <i/>
        <vertAlign val="superscript"/>
        <sz val="11"/>
        <color indexed="8"/>
        <rFont val="Calibri"/>
        <family val="2"/>
      </rPr>
      <t>3</t>
    </r>
    <r>
      <rPr>
        <i/>
        <sz val="11"/>
        <color indexed="8"/>
        <rFont val="Calibri"/>
        <family val="2"/>
      </rPr>
      <t>)</t>
    </r>
  </si>
  <si>
    <r>
      <t>Volume de mortier à déduire (m</t>
    </r>
    <r>
      <rPr>
        <i/>
        <vertAlign val="superscript"/>
        <sz val="11"/>
        <color indexed="8"/>
        <rFont val="Calibri"/>
        <family val="2"/>
      </rPr>
      <t>3</t>
    </r>
    <r>
      <rPr>
        <i/>
        <sz val="11"/>
        <color indexed="8"/>
        <rFont val="Calibri"/>
        <family val="2"/>
      </rPr>
      <t>)</t>
    </r>
  </si>
  <si>
    <t>Surface de paille à déduire (m²)</t>
  </si>
  <si>
    <t>surface des murs ( en m² )</t>
  </si>
  <si>
    <t>1ème étage</t>
  </si>
  <si>
    <t>2ème étage</t>
  </si>
  <si>
    <t>Surface  des murs</t>
  </si>
  <si>
    <t>Total ( m²)</t>
  </si>
  <si>
    <t>Dimensions tableau des portes ou PF</t>
  </si>
  <si>
    <t>Porte 1</t>
  </si>
  <si>
    <t>Porte 2</t>
  </si>
  <si>
    <t>Porte 3</t>
  </si>
  <si>
    <t>Porte 4</t>
  </si>
  <si>
    <t>Porte 5</t>
  </si>
  <si>
    <t>Porte 6</t>
  </si>
  <si>
    <t>Profondeur du tableau</t>
  </si>
  <si>
    <t>Surface de paille à déduire</t>
  </si>
  <si>
    <t>Nombre de coffrage par plaque</t>
  </si>
  <si>
    <t xml:space="preserve">Nombre de coffrage </t>
  </si>
  <si>
    <t xml:space="preserve">Nombre de plaques </t>
  </si>
  <si>
    <t>Nombre de pignons</t>
  </si>
  <si>
    <r>
      <t>Vis pour coffrage ( U/ml)</t>
    </r>
    <r>
      <rPr>
        <i/>
        <vertAlign val="superscript"/>
        <sz val="11"/>
        <color indexed="8"/>
        <rFont val="Calibri"/>
        <family val="2"/>
      </rPr>
      <t>1</t>
    </r>
  </si>
  <si>
    <t>goujons</t>
  </si>
  <si>
    <t>Préparer votre plan d'ossature GREB et positionnez vos poteaux intermédiaires</t>
  </si>
  <si>
    <t>Réalisé par V. Brossamain &amp; JB Thévard</t>
  </si>
  <si>
    <t>Théorie</t>
  </si>
  <si>
    <t>Nbre de poteaux P</t>
  </si>
  <si>
    <t>poteaux</t>
  </si>
  <si>
    <t>Ecartement des poteaux :</t>
  </si>
  <si>
    <t>Pratique</t>
  </si>
  <si>
    <t>Optimisation</t>
  </si>
  <si>
    <t>Longueur extérieure totale de tous les étages</t>
  </si>
  <si>
    <t>Longueur de paille totale (m)</t>
  </si>
  <si>
    <t>/Unité</t>
  </si>
  <si>
    <t>Estimation perte</t>
  </si>
  <si>
    <t>&lt;&lt;  vous pouvez le faire varier si vous maîtrisez le matériau</t>
  </si>
  <si>
    <r>
      <t>Vis pour ossature</t>
    </r>
    <r>
      <rPr>
        <i/>
        <sz val="11"/>
        <color indexed="8"/>
        <rFont val="Calibri"/>
        <family val="2"/>
      </rPr>
      <t xml:space="preserve"> (15/m² de mur)</t>
    </r>
  </si>
  <si>
    <r>
      <t xml:space="preserve">Clous galvanisés </t>
    </r>
    <r>
      <rPr>
        <i/>
        <sz val="11"/>
        <color indexed="8"/>
        <rFont val="Calibri"/>
        <family val="2"/>
      </rPr>
      <t>(50/m² de mur)</t>
    </r>
  </si>
  <si>
    <t>Indiquez ici la longueur L :</t>
  </si>
  <si>
    <t>cm</t>
  </si>
  <si>
    <t>Théorie :</t>
  </si>
  <si>
    <t>Optimisé :</t>
  </si>
  <si>
    <t>L=</t>
  </si>
  <si>
    <t>Informations correspondant à l'emplacement sur le plan</t>
  </si>
  <si>
    <t>CLOUS</t>
  </si>
  <si>
    <t>LA PAILLE</t>
  </si>
  <si>
    <t>LA QUINCAILLERIE</t>
  </si>
  <si>
    <t>LE BOIS D'OSSATURE</t>
  </si>
  <si>
    <t>LES MATERIAUX DU MORTIER</t>
  </si>
  <si>
    <t xml:space="preserve">Volumes des materiaux du mortier GREB </t>
  </si>
  <si>
    <t>Partie 1 : Dimensions générales</t>
  </si>
  <si>
    <t>CARACTERISTIQUES DES MURS DE VOTRE PROJET</t>
  </si>
  <si>
    <t>Partie 2 : dimensions des menuiseries</t>
  </si>
  <si>
    <t>RECAPITULATIF</t>
  </si>
  <si>
    <t>1: Indiquez ici vos prix constatés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</si>
</sst>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&quot; €&quot;"/>
    <numFmt numFmtId="167" formatCode="_-* #,##0.00&quot; €&quot;_-;\-* #,##0.00&quot; €&quot;_-;_-* \-??&quot; €&quot;_-;_-@_-"/>
  </numFmts>
  <fonts count="32" x14ac:knownFonts="1">
    <font>
      <sz val="11"/>
      <color indexed="8"/>
      <name val="Calibri"/>
      <family val="2"/>
    </font>
    <font>
      <b/>
      <sz val="18"/>
      <color indexed="8"/>
      <name val="Calibri"/>
      <family val="2"/>
    </font>
    <font>
      <b/>
      <i/>
      <sz val="18"/>
      <color indexed="8"/>
      <name val="Calibri"/>
      <family val="2"/>
    </font>
    <font>
      <b/>
      <i/>
      <sz val="9"/>
      <color indexed="8"/>
      <name val="Tahoma"/>
      <family val="2"/>
    </font>
    <font>
      <sz val="9"/>
      <color indexed="8"/>
      <name val="Tahoma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2"/>
      <color indexed="8"/>
      <name val="Calibri"/>
      <family val="2"/>
    </font>
    <font>
      <b/>
      <i/>
      <vertAlign val="superscript"/>
      <sz val="12"/>
      <color indexed="8"/>
      <name val="Calibri"/>
      <family val="2"/>
    </font>
    <font>
      <i/>
      <vertAlign val="superscript"/>
      <sz val="11"/>
      <color indexed="8"/>
      <name val="Calibri"/>
      <family val="2"/>
    </font>
    <font>
      <i/>
      <sz val="9"/>
      <color indexed="8"/>
      <name val="Calibri"/>
      <family val="2"/>
    </font>
    <font>
      <b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i/>
      <vertAlign val="superscript"/>
      <sz val="11"/>
      <color indexed="8"/>
      <name val="Calibri"/>
      <family val="2"/>
    </font>
    <font>
      <i/>
      <sz val="10"/>
      <color indexed="8"/>
      <name val="Calibri"/>
      <family val="2"/>
    </font>
    <font>
      <i/>
      <vertAlign val="superscript"/>
      <sz val="10"/>
      <color indexed="8"/>
      <name val="Calibri"/>
      <family val="2"/>
    </font>
    <font>
      <b/>
      <sz val="9"/>
      <color indexed="8"/>
      <name val="Tahoma"/>
      <family val="2"/>
    </font>
    <font>
      <b/>
      <i/>
      <sz val="11"/>
      <name val="Calibri"/>
      <family val="2"/>
    </font>
    <font>
      <i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b/>
      <sz val="16"/>
      <name val="Dosis"/>
    </font>
    <font>
      <b/>
      <sz val="14"/>
      <name val="Dosis"/>
    </font>
    <font>
      <sz val="11"/>
      <color theme="1"/>
      <name val="Dosis"/>
    </font>
    <font>
      <sz val="18"/>
      <color theme="1"/>
      <name val="Dosis"/>
    </font>
    <font>
      <b/>
      <sz val="14"/>
      <color theme="1"/>
      <name val="Dosis"/>
    </font>
    <font>
      <sz val="11"/>
      <color theme="0"/>
      <name val="Dosis"/>
    </font>
    <font>
      <b/>
      <sz val="16"/>
      <color theme="1"/>
      <name val="Dosis"/>
    </font>
  </fonts>
  <fills count="16">
    <fill>
      <patternFill patternType="none"/>
    </fill>
    <fill>
      <patternFill patternType="gray125"/>
    </fill>
    <fill>
      <patternFill patternType="solid">
        <fgColor indexed="40"/>
        <bgColor indexed="49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 diagonalDown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4">
    <xf numFmtId="0" fontId="0" fillId="0" borderId="0"/>
    <xf numFmtId="0" fontId="24" fillId="2" borderId="0">
      <alignment vertical="center"/>
    </xf>
    <xf numFmtId="0" fontId="23" fillId="0" borderId="0" applyNumberFormat="0" applyFill="0" applyBorder="0" applyAlignment="0" applyProtection="0"/>
    <xf numFmtId="167" fontId="24" fillId="0" borderId="0" applyFill="0" applyBorder="0" applyAlignment="0" applyProtection="0"/>
  </cellStyleXfs>
  <cellXfs count="291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right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/>
    </xf>
    <xf numFmtId="2" fontId="0" fillId="0" borderId="0" xfId="0" applyNumberFormat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6" fillId="0" borderId="0" xfId="0" applyFont="1"/>
    <xf numFmtId="1" fontId="0" fillId="2" borderId="1" xfId="0" applyNumberFormat="1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0" fillId="0" borderId="3" xfId="0" applyBorder="1"/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2" fontId="0" fillId="2" borderId="6" xfId="0" applyNumberForma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right" vertical="center" wrapText="1"/>
    </xf>
    <xf numFmtId="2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11" fillId="0" borderId="1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0" fontId="6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8" xfId="0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5" fillId="4" borderId="10" xfId="0" applyNumberFormat="1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6" fillId="0" borderId="6" xfId="0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right"/>
    </xf>
    <xf numFmtId="166" fontId="5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5" fillId="4" borderId="10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2" fontId="5" fillId="4" borderId="12" xfId="0" applyNumberFormat="1" applyFont="1" applyFill="1" applyBorder="1" applyAlignment="1">
      <alignment horizontal="center" vertical="center"/>
    </xf>
    <xf numFmtId="0" fontId="0" fillId="0" borderId="13" xfId="0" applyBorder="1"/>
    <xf numFmtId="0" fontId="5" fillId="0" borderId="14" xfId="0" applyFont="1" applyBorder="1" applyAlignment="1">
      <alignment horizontal="center" vertical="center"/>
    </xf>
    <xf numFmtId="0" fontId="18" fillId="0" borderId="0" xfId="0" applyFont="1"/>
    <xf numFmtId="2" fontId="19" fillId="0" borderId="0" xfId="0" applyNumberFormat="1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18" fillId="0" borderId="0" xfId="0" applyFont="1" applyAlignment="1">
      <alignment wrapText="1"/>
    </xf>
    <xf numFmtId="1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1" fontId="19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5" fillId="0" borderId="1" xfId="0" applyFont="1" applyBorder="1" applyAlignment="1">
      <alignment horizontal="right"/>
    </xf>
    <xf numFmtId="1" fontId="6" fillId="0" borderId="1" xfId="0" applyNumberFormat="1" applyFont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21" fillId="0" borderId="0" xfId="0" applyNumberFormat="1" applyFont="1" applyAlignment="1">
      <alignment horizontal="center" vertical="center"/>
    </xf>
    <xf numFmtId="0" fontId="2" fillId="0" borderId="0" xfId="0" applyFont="1"/>
    <xf numFmtId="1" fontId="0" fillId="0" borderId="6" xfId="0" applyNumberFormat="1" applyBorder="1" applyAlignment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1" fontId="0" fillId="4" borderId="6" xfId="0" applyNumberForma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1" fontId="0" fillId="4" borderId="4" xfId="0" applyNumberFormat="1" applyFill="1" applyBorder="1" applyAlignment="1">
      <alignment horizontal="center"/>
    </xf>
    <xf numFmtId="1" fontId="0" fillId="4" borderId="6" xfId="0" applyNumberFormat="1" applyFill="1" applyBorder="1" applyAlignment="1">
      <alignment horizontal="center" vertical="center"/>
    </xf>
    <xf numFmtId="0" fontId="6" fillId="0" borderId="9" xfId="0" applyFont="1" applyBorder="1" applyAlignment="1">
      <alignment horizontal="right"/>
    </xf>
    <xf numFmtId="1" fontId="0" fillId="0" borderId="9" xfId="0" applyNumberFormat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1" fontId="0" fillId="4" borderId="9" xfId="0" applyNumberForma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0" fontId="0" fillId="2" borderId="5" xfId="0" applyFill="1" applyBorder="1" applyAlignment="1" applyProtection="1">
      <alignment horizontal="center" vertical="center"/>
      <protection locked="0"/>
    </xf>
    <xf numFmtId="1" fontId="0" fillId="4" borderId="5" xfId="0" applyNumberFormat="1" applyFill="1" applyBorder="1" applyAlignment="1">
      <alignment horizontal="center" vertical="center"/>
    </xf>
    <xf numFmtId="0" fontId="22" fillId="0" borderId="0" xfId="0" applyFont="1"/>
    <xf numFmtId="0" fontId="23" fillId="0" borderId="0" xfId="2" applyNumberFormat="1" applyFill="1" applyBorder="1" applyAlignment="1" applyProtection="1"/>
    <xf numFmtId="0" fontId="23" fillId="0" borderId="0" xfId="2" applyNumberFormat="1" applyFill="1" applyBorder="1" applyAlignment="1" applyProtection="1">
      <alignment horizontal="center"/>
    </xf>
    <xf numFmtId="0" fontId="6" fillId="0" borderId="16" xfId="0" applyFont="1" applyBorder="1" applyAlignment="1">
      <alignment horizontal="center" vertical="center"/>
    </xf>
    <xf numFmtId="166" fontId="0" fillId="2" borderId="1" xfId="3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3" applyNumberFormat="1" applyFont="1" applyFill="1" applyBorder="1" applyAlignment="1" applyProtection="1">
      <alignment horizontal="center" vertical="center"/>
      <protection locked="0"/>
    </xf>
    <xf numFmtId="167" fontId="0" fillId="0" borderId="0" xfId="3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5" fillId="0" borderId="17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66" fontId="0" fillId="0" borderId="1" xfId="3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/>
    </xf>
    <xf numFmtId="166" fontId="0" fillId="0" borderId="6" xfId="3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166" fontId="0" fillId="0" borderId="2" xfId="3" applyNumberFormat="1" applyFont="1" applyFill="1" applyBorder="1" applyAlignment="1" applyProtection="1">
      <alignment horizontal="center" vertical="center"/>
    </xf>
    <xf numFmtId="166" fontId="7" fillId="4" borderId="18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3" fillId="0" borderId="0" xfId="2" applyNumberFormat="1" applyFill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6" fillId="0" borderId="13" xfId="0" applyFont="1" applyBorder="1" applyAlignment="1">
      <alignment horizontal="center"/>
    </xf>
    <xf numFmtId="2" fontId="11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6" xfId="0" applyNumberFormat="1" applyFont="1" applyFill="1" applyBorder="1" applyAlignment="1">
      <alignment horizontal="center" vertical="center"/>
    </xf>
    <xf numFmtId="2" fontId="5" fillId="4" borderId="1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2" fontId="17" fillId="4" borderId="15" xfId="0" applyNumberFormat="1" applyFont="1" applyFill="1" applyBorder="1" applyAlignment="1">
      <alignment horizontal="center" vertical="center"/>
    </xf>
    <xf numFmtId="2" fontId="5" fillId="4" borderId="15" xfId="0" applyNumberFormat="1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" xfId="0" applyNumberFormat="1" applyBorder="1"/>
    <xf numFmtId="0" fontId="0" fillId="3" borderId="6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0" borderId="14" xfId="0" applyBorder="1" applyAlignment="1">
      <alignment horizontal="left"/>
    </xf>
    <xf numFmtId="2" fontId="0" fillId="0" borderId="0" xfId="0" applyNumberFormat="1"/>
    <xf numFmtId="0" fontId="6" fillId="0" borderId="21" xfId="0" applyFont="1" applyBorder="1" applyAlignment="1">
      <alignment horizontal="right"/>
    </xf>
    <xf numFmtId="2" fontId="0" fillId="0" borderId="21" xfId="0" applyNumberFormat="1" applyBorder="1"/>
    <xf numFmtId="1" fontId="0" fillId="0" borderId="21" xfId="0" applyNumberFormat="1" applyBorder="1" applyAlignment="1">
      <alignment horizontal="center"/>
    </xf>
    <xf numFmtId="0" fontId="6" fillId="0" borderId="8" xfId="0" applyFont="1" applyBorder="1" applyAlignment="1">
      <alignment horizontal="right"/>
    </xf>
    <xf numFmtId="164" fontId="0" fillId="9" borderId="8" xfId="0" applyNumberFormat="1" applyFill="1" applyBorder="1" applyAlignment="1" applyProtection="1">
      <alignment horizontal="center" vertical="center"/>
      <protection locked="0"/>
    </xf>
    <xf numFmtId="164" fontId="0" fillId="9" borderId="0" xfId="0" applyNumberFormat="1" applyFill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right"/>
    </xf>
    <xf numFmtId="164" fontId="0" fillId="0" borderId="22" xfId="0" applyNumberFormat="1" applyBorder="1" applyAlignment="1" applyProtection="1">
      <alignment horizontal="center" vertical="center"/>
      <protection locked="0"/>
    </xf>
    <xf numFmtId="0" fontId="0" fillId="0" borderId="21" xfId="0" applyBorder="1"/>
    <xf numFmtId="2" fontId="0" fillId="0" borderId="14" xfId="0" applyNumberForma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11" fillId="0" borderId="21" xfId="0" applyNumberFormat="1" applyFont="1" applyBorder="1" applyAlignment="1">
      <alignment horizontal="center" vertical="center"/>
    </xf>
    <xf numFmtId="2" fontId="11" fillId="0" borderId="21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5" fillId="0" borderId="21" xfId="0" applyFont="1" applyBorder="1"/>
    <xf numFmtId="0" fontId="6" fillId="0" borderId="21" xfId="0" applyFont="1" applyBorder="1"/>
    <xf numFmtId="0" fontId="6" fillId="11" borderId="1" xfId="0" applyFont="1" applyFill="1" applyBorder="1" applyAlignment="1">
      <alignment horizontal="right"/>
    </xf>
    <xf numFmtId="0" fontId="27" fillId="0" borderId="0" xfId="0" applyFont="1"/>
    <xf numFmtId="0" fontId="28" fillId="0" borderId="0" xfId="0" applyFont="1"/>
    <xf numFmtId="0" fontId="26" fillId="14" borderId="36" xfId="0" applyFont="1" applyFill="1" applyBorder="1" applyAlignment="1">
      <alignment vertical="center"/>
    </xf>
    <xf numFmtId="0" fontId="29" fillId="13" borderId="0" xfId="0" applyFont="1" applyFill="1" applyAlignment="1">
      <alignment vertical="center"/>
    </xf>
    <xf numFmtId="165" fontId="30" fillId="0" borderId="0" xfId="0" applyNumberFormat="1" applyFont="1"/>
    <xf numFmtId="0" fontId="25" fillId="13" borderId="0" xfId="0" applyFont="1" applyFill="1" applyAlignment="1">
      <alignment horizontal="right" vertical="center"/>
    </xf>
    <xf numFmtId="1" fontId="29" fillId="0" borderId="40" xfId="0" applyNumberFormat="1" applyFont="1" applyBorder="1"/>
    <xf numFmtId="0" fontId="29" fillId="0" borderId="41" xfId="0" applyFont="1" applyBorder="1"/>
    <xf numFmtId="164" fontId="29" fillId="0" borderId="44" xfId="0" applyNumberFormat="1" applyFont="1" applyBorder="1"/>
    <xf numFmtId="0" fontId="29" fillId="0" borderId="45" xfId="0" applyFont="1" applyBorder="1"/>
    <xf numFmtId="1" fontId="27" fillId="0" borderId="0" xfId="0" applyNumberFormat="1" applyFont="1"/>
    <xf numFmtId="1" fontId="29" fillId="15" borderId="40" xfId="0" applyNumberFormat="1" applyFont="1" applyFill="1" applyBorder="1"/>
    <xf numFmtId="0" fontId="29" fillId="15" borderId="41" xfId="0" applyFont="1" applyFill="1" applyBorder="1"/>
    <xf numFmtId="164" fontId="29" fillId="15" borderId="44" xfId="0" applyNumberFormat="1" applyFont="1" applyFill="1" applyBorder="1"/>
    <xf numFmtId="0" fontId="29" fillId="15" borderId="45" xfId="0" applyFont="1" applyFill="1" applyBorder="1"/>
    <xf numFmtId="1" fontId="29" fillId="0" borderId="0" xfId="0" applyNumberFormat="1" applyFont="1"/>
    <xf numFmtId="0" fontId="29" fillId="0" borderId="0" xfId="0" applyFont="1"/>
    <xf numFmtId="164" fontId="29" fillId="0" borderId="0" xfId="0" applyNumberFormat="1" applyFont="1"/>
    <xf numFmtId="0" fontId="31" fillId="0" borderId="0" xfId="0" applyFont="1" applyAlignment="1">
      <alignment horizontal="right"/>
    </xf>
    <xf numFmtId="164" fontId="31" fillId="0" borderId="0" xfId="0" applyNumberFormat="1" applyFont="1" applyAlignment="1">
      <alignment horizontal="center"/>
    </xf>
    <xf numFmtId="0" fontId="31" fillId="0" borderId="0" xfId="0" applyFont="1" applyAlignment="1">
      <alignment horizontal="left"/>
    </xf>
    <xf numFmtId="1" fontId="31" fillId="0" borderId="0" xfId="0" applyNumberFormat="1" applyFont="1" applyAlignment="1">
      <alignment horizontal="center"/>
    </xf>
    <xf numFmtId="0" fontId="31" fillId="0" borderId="0" xfId="0" applyFont="1"/>
    <xf numFmtId="0" fontId="27" fillId="0" borderId="52" xfId="0" applyFont="1" applyBorder="1"/>
    <xf numFmtId="0" fontId="27" fillId="0" borderId="53" xfId="0" applyFont="1" applyBorder="1"/>
    <xf numFmtId="0" fontId="27" fillId="0" borderId="54" xfId="0" applyFont="1" applyBorder="1"/>
    <xf numFmtId="0" fontId="27" fillId="0" borderId="55" xfId="0" applyFont="1" applyBorder="1"/>
    <xf numFmtId="0" fontId="27" fillId="0" borderId="56" xfId="0" applyFont="1" applyBorder="1"/>
    <xf numFmtId="0" fontId="27" fillId="0" borderId="57" xfId="0" applyFont="1" applyBorder="1"/>
    <xf numFmtId="0" fontId="27" fillId="0" borderId="58" xfId="0" applyFont="1" applyBorder="1"/>
    <xf numFmtId="0" fontId="5" fillId="0" borderId="0" xfId="0" applyFont="1" applyAlignment="1">
      <alignment horizontal="center"/>
    </xf>
    <xf numFmtId="1" fontId="0" fillId="0" borderId="6" xfId="0" applyNumberForma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5" fillId="10" borderId="16" xfId="0" applyFont="1" applyFill="1" applyBorder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10" borderId="16" xfId="0" applyFont="1" applyFill="1" applyBorder="1" applyAlignment="1">
      <alignment horizontal="center"/>
    </xf>
    <xf numFmtId="0" fontId="5" fillId="10" borderId="0" xfId="0" applyFont="1" applyFill="1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1" fillId="6" borderId="2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right"/>
    </xf>
    <xf numFmtId="0" fontId="5" fillId="0" borderId="1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right"/>
    </xf>
    <xf numFmtId="0" fontId="7" fillId="7" borderId="12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right"/>
    </xf>
    <xf numFmtId="0" fontId="6" fillId="0" borderId="24" xfId="0" applyFont="1" applyBorder="1" applyAlignment="1">
      <alignment horizontal="right" vertical="center"/>
    </xf>
    <xf numFmtId="0" fontId="7" fillId="7" borderId="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0" fontId="0" fillId="11" borderId="1" xfId="0" applyNumberForma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1" fillId="0" borderId="0" xfId="0" applyFont="1" applyAlignment="1">
      <alignment horizontal="left"/>
    </xf>
    <xf numFmtId="0" fontId="27" fillId="0" borderId="49" xfId="0" applyFont="1" applyBorder="1" applyAlignment="1">
      <alignment horizontal="center"/>
    </xf>
    <xf numFmtId="0" fontId="27" fillId="0" borderId="50" xfId="0" applyFont="1" applyBorder="1" applyAlignment="1">
      <alignment horizontal="center"/>
    </xf>
    <xf numFmtId="0" fontId="27" fillId="0" borderId="51" xfId="0" applyFont="1" applyBorder="1" applyAlignment="1">
      <alignment horizontal="center"/>
    </xf>
    <xf numFmtId="0" fontId="28" fillId="12" borderId="33" xfId="0" applyFont="1" applyFill="1" applyBorder="1" applyAlignment="1">
      <alignment horizontal="center" vertical="center"/>
    </xf>
    <xf numFmtId="0" fontId="27" fillId="12" borderId="34" xfId="0" applyFont="1" applyFill="1" applyBorder="1" applyAlignment="1">
      <alignment horizontal="center" vertical="center"/>
    </xf>
    <xf numFmtId="0" fontId="27" fillId="12" borderId="35" xfId="0" applyFont="1" applyFill="1" applyBorder="1" applyAlignment="1">
      <alignment horizontal="center" vertical="center"/>
    </xf>
    <xf numFmtId="0" fontId="25" fillId="13" borderId="0" xfId="0" applyFont="1" applyFill="1" applyAlignment="1">
      <alignment horizontal="right" vertical="center"/>
    </xf>
    <xf numFmtId="0" fontId="27" fillId="0" borderId="37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0" fontId="27" fillId="0" borderId="38" xfId="0" applyFont="1" applyBorder="1" applyAlignment="1">
      <alignment horizontal="left"/>
    </xf>
    <xf numFmtId="0" fontId="27" fillId="0" borderId="39" xfId="0" applyFont="1" applyBorder="1" applyAlignment="1">
      <alignment horizontal="left"/>
    </xf>
    <xf numFmtId="0" fontId="27" fillId="0" borderId="43" xfId="0" applyFont="1" applyBorder="1" applyAlignment="1">
      <alignment horizontal="left"/>
    </xf>
    <xf numFmtId="0" fontId="27" fillId="0" borderId="32" xfId="0" applyFont="1" applyBorder="1" applyAlignment="1">
      <alignment horizontal="left"/>
    </xf>
    <xf numFmtId="0" fontId="27" fillId="15" borderId="37" xfId="0" applyFont="1" applyFill="1" applyBorder="1" applyAlignment="1">
      <alignment horizontal="center" vertical="center"/>
    </xf>
    <xf numFmtId="0" fontId="27" fillId="15" borderId="46" xfId="0" applyFont="1" applyFill="1" applyBorder="1" applyAlignment="1">
      <alignment horizontal="center" vertical="center"/>
    </xf>
    <xf numFmtId="0" fontId="27" fillId="15" borderId="38" xfId="0" applyFont="1" applyFill="1" applyBorder="1" applyAlignment="1">
      <alignment horizontal="left"/>
    </xf>
    <xf numFmtId="0" fontId="27" fillId="15" borderId="39" xfId="0" applyFont="1" applyFill="1" applyBorder="1" applyAlignment="1">
      <alignment horizontal="left"/>
    </xf>
    <xf numFmtId="0" fontId="27" fillId="15" borderId="47" xfId="0" applyFont="1" applyFill="1" applyBorder="1" applyAlignment="1">
      <alignment horizontal="left"/>
    </xf>
    <xf numFmtId="0" fontId="27" fillId="15" borderId="48" xfId="0" applyFont="1" applyFill="1" applyBorder="1" applyAlignment="1">
      <alignment horizontal="left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</cellXfs>
  <cellStyles count="4">
    <cellStyle name="à remplir" xfId="1" xr:uid="{00000000-0005-0000-0000-000000000000}"/>
    <cellStyle name="Lien hypertexte" xfId="2" builtinId="8"/>
    <cellStyle name="Monétaire" xfId="3" builtinId="4"/>
    <cellStyle name="Normal" xfId="0" builtinId="0"/>
  </cellStyles>
  <dxfs count="2">
    <dxf>
      <font>
        <color rgb="FFFFFF0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186267</xdr:colOff>
      <xdr:row>50</xdr:row>
      <xdr:rowOff>67733</xdr:rowOff>
    </xdr:from>
    <xdr:to>
      <xdr:col>8</xdr:col>
      <xdr:colOff>381000</xdr:colOff>
      <xdr:row>60</xdr:row>
      <xdr:rowOff>0</xdr:rowOff>
    </xdr:to>
    <xdr:pic>
      <xdr:nvPicPr>
        <xdr:cNvPr id="1212" name="Image 7">
          <a:extLst>
            <a:ext uri="{FF2B5EF4-FFF2-40B4-BE49-F238E27FC236}">
              <a16:creationId xmlns:a16="http://schemas.microsoft.com/office/drawing/2014/main" id="{60AD6F14-0EFC-51B1-B108-F77AED2C4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70" t="12131" r="14778" b="14424"/>
        <a:stretch>
          <a:fillRect/>
        </a:stretch>
      </xdr:blipFill>
      <xdr:spPr bwMode="auto">
        <a:xfrm>
          <a:off x="3238500" y="10668000"/>
          <a:ext cx="2967567" cy="1934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358020</xdr:colOff>
      <xdr:row>62</xdr:row>
      <xdr:rowOff>105985</xdr:rowOff>
    </xdr:from>
    <xdr:to>
      <xdr:col>7</xdr:col>
      <xdr:colOff>371780</xdr:colOff>
      <xdr:row>66</xdr:row>
      <xdr:rowOff>30787</xdr:rowOff>
    </xdr:to>
    <xdr:sp macro="" textlink="" fLocksText="0">
      <xdr:nvSpPr>
        <xdr:cNvPr id="1029" name="ZoneTexte 2">
          <a:extLst>
            <a:ext uri="{FF2B5EF4-FFF2-40B4-BE49-F238E27FC236}">
              <a16:creationId xmlns:a16="http://schemas.microsoft.com/office/drawing/2014/main" id="{8D8251C3-7FCE-BA76-9AB2-EB878505A7C4}"/>
            </a:ext>
          </a:extLst>
        </xdr:cNvPr>
        <xdr:cNvSpPr txBox="1">
          <a:spLocks noChangeArrowheads="1"/>
        </xdr:cNvSpPr>
      </xdr:nvSpPr>
      <xdr:spPr bwMode="auto">
        <a:xfrm>
          <a:off x="3413716" y="13213925"/>
          <a:ext cx="2230488" cy="663711"/>
        </a:xfrm>
        <a:prstGeom prst="rect">
          <a:avLst/>
        </a:prstGeom>
        <a:solidFill>
          <a:srgbClr val="BFBFBF"/>
        </a:solidFill>
        <a:ln w="9360" cap="sq">
          <a:solidFill>
            <a:srgbClr val="BCBCBC"/>
          </a:solidFill>
          <a:miter lim="800000"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lnSpc>
              <a:spcPts val="1200"/>
            </a:lnSpc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Deux valeurs courantes existent:</a:t>
          </a:r>
        </a:p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&gt; 1,25*2,50</a:t>
          </a:r>
        </a:p>
        <a:p>
          <a:pPr algn="l" rtl="0">
            <a:lnSpc>
              <a:spcPts val="1200"/>
            </a:lnSpc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&gt; 0,68* 2,50</a:t>
          </a:r>
        </a:p>
        <a:p>
          <a:pPr algn="l" rtl="0">
            <a:lnSpc>
              <a:spcPts val="1200"/>
            </a:lnSpc>
            <a:defRPr sz="1000"/>
          </a:pP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207433</xdr:colOff>
      <xdr:row>5</xdr:row>
      <xdr:rowOff>84667</xdr:rowOff>
    </xdr:to>
    <xdr:sp macro="" textlink="">
      <xdr:nvSpPr>
        <xdr:cNvPr id="3171" name="ZoneTexte 1">
          <a:extLst>
            <a:ext uri="{FF2B5EF4-FFF2-40B4-BE49-F238E27FC236}">
              <a16:creationId xmlns:a16="http://schemas.microsoft.com/office/drawing/2014/main" id="{60BA9F5C-C4F9-0354-0E38-DD5CE85FE797}"/>
            </a:ext>
          </a:extLst>
        </xdr:cNvPr>
        <xdr:cNvSpPr txBox="1">
          <a:spLocks noChangeArrowheads="1"/>
        </xdr:cNvSpPr>
      </xdr:nvSpPr>
      <xdr:spPr bwMode="auto">
        <a:xfrm>
          <a:off x="4296833" y="1126067"/>
          <a:ext cx="207434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</xdr:colOff>
      <xdr:row>43</xdr:row>
      <xdr:rowOff>91017</xdr:rowOff>
    </xdr:from>
    <xdr:to>
      <xdr:col>5</xdr:col>
      <xdr:colOff>29633</xdr:colOff>
      <xdr:row>48</xdr:row>
      <xdr:rowOff>0</xdr:rowOff>
    </xdr:to>
    <xdr:sp macro="" textlink="" fLocksText="0">
      <xdr:nvSpPr>
        <xdr:cNvPr id="5122" name="ZoneTexte 1">
          <a:extLst>
            <a:ext uri="{FF2B5EF4-FFF2-40B4-BE49-F238E27FC236}">
              <a16:creationId xmlns:a16="http://schemas.microsoft.com/office/drawing/2014/main" id="{0B63BD9D-3EEA-DFBE-2AA8-9F0ECAD55308}"/>
            </a:ext>
          </a:extLst>
        </xdr:cNvPr>
        <xdr:cNvSpPr txBox="1">
          <a:spLocks noChangeArrowheads="1"/>
        </xdr:cNvSpPr>
      </xdr:nvSpPr>
      <xdr:spPr bwMode="auto">
        <a:xfrm>
          <a:off x="342900" y="9239250"/>
          <a:ext cx="4737100" cy="819150"/>
        </a:xfrm>
        <a:prstGeom prst="rect">
          <a:avLst/>
        </a:prstGeom>
        <a:solidFill>
          <a:srgbClr val="FFFFFF"/>
        </a:solidFill>
        <a:ln w="9360" cap="sq">
          <a:solidFill>
            <a:srgbClr val="8EB4E3"/>
          </a:solidFill>
          <a:miter lim="800000"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FF0000"/>
              </a:solidFill>
              <a:latin typeface="Calibri"/>
              <a:cs typeface="Calibri"/>
            </a:rPr>
            <a:t>Ces calculs sont donnés à titres indicatifs, seul le bois tient compte d'une majoration.</a:t>
          </a:r>
        </a:p>
        <a:p>
          <a:pPr algn="l" rtl="0">
            <a:defRPr sz="1000"/>
          </a:pPr>
          <a:r>
            <a:rPr lang="fr-FR" sz="1100" b="0" i="0" u="none" strike="noStrike" baseline="0">
              <a:solidFill>
                <a:srgbClr val="FF0000"/>
              </a:solidFill>
              <a:latin typeface="Calibri"/>
              <a:cs typeface="Calibri"/>
            </a:rPr>
            <a:t>Afin de ne pas vous trouver juste  sur la fin de chantier, il est conseillé de majorer les materiaux pour le mortier !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3316</xdr:colOff>
      <xdr:row>2</xdr:row>
      <xdr:rowOff>102233</xdr:rowOff>
    </xdr:from>
    <xdr:to>
      <xdr:col>15</xdr:col>
      <xdr:colOff>22071</xdr:colOff>
      <xdr:row>12</xdr:row>
      <xdr:rowOff>576965</xdr:rowOff>
    </xdr:to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4859A603-BD26-2DDE-A1EF-12693657082A}"/>
            </a:ext>
          </a:extLst>
        </xdr:cNvPr>
        <xdr:cNvSpPr txBox="1"/>
      </xdr:nvSpPr>
      <xdr:spPr>
        <a:xfrm>
          <a:off x="4871649" y="749933"/>
          <a:ext cx="7037622" cy="32433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just"/>
          <a:r>
            <a:rPr lang="fr-FR" sz="1050" b="0" i="0">
              <a:latin typeface="Dosis" panose="02010803020202060003" pitchFamily="2" charset="0"/>
              <a:cs typeface="Arial" pitchFamily="34" charset="0"/>
            </a:rPr>
            <a:t>L'écartement entre les poteaux GREB est idéalement de 60 cm,</a:t>
          </a:r>
          <a:r>
            <a:rPr lang="fr-FR" sz="1050" b="0" i="0" baseline="0">
              <a:latin typeface="Dosis" panose="02010803020202060003" pitchFamily="2" charset="0"/>
              <a:cs typeface="Arial" pitchFamily="34" charset="0"/>
            </a:rPr>
            <a:t> mais dans la pratique, c'est un peu un casse-tête sur chantier pour trouver la bonne mesure et nous vous conseillons de préparer à l'avance vos côtes suivant  cette feuille de calcul.</a:t>
          </a:r>
          <a:endParaRPr lang="fr-FR" sz="1050" b="0" i="0">
            <a:latin typeface="Dosis" panose="02010803020202060003" pitchFamily="2" charset="0"/>
            <a:cs typeface="Arial" pitchFamily="34" charset="0"/>
          </a:endParaRPr>
        </a:p>
        <a:p>
          <a:pPr algn="just"/>
          <a:endParaRPr lang="fr-FR" sz="1050" b="0" i="0" u="sng" baseline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  <a:p>
          <a:pPr algn="just"/>
          <a:r>
            <a:rPr lang="fr-FR" sz="1050" b="0" i="0" u="sng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1-Calcul du nombre de poteaux :</a:t>
          </a:r>
          <a:endParaRPr lang="fr-FR" sz="1050" b="0" i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  <a:p>
          <a:pPr algn="just"/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Noter</a:t>
          </a:r>
          <a:r>
            <a:rPr lang="fr-FR" sz="1050" b="0" i="0">
              <a:solidFill>
                <a:schemeClr val="tx1">
                  <a:lumMod val="95000"/>
                  <a:lumOff val="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 </a:t>
          </a:r>
          <a:r>
            <a:rPr lang="fr-FR" sz="1050" b="1" i="0">
              <a:solidFill>
                <a:schemeClr val="tx1">
                  <a:lumMod val="95000"/>
                  <a:lumOff val="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L </a:t>
          </a:r>
          <a:r>
            <a:rPr lang="fr-FR" sz="1050" b="1" i="0">
              <a:solidFill>
                <a:schemeClr val="tx2">
                  <a:lumMod val="7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(</a:t>
          </a:r>
          <a:r>
            <a:rPr lang="fr-FR" sz="1050" b="1" i="0">
              <a:solidFill>
                <a:schemeClr val="tx2">
                  <a:lumMod val="60000"/>
                  <a:lumOff val="40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en bleu</a:t>
          </a:r>
          <a:r>
            <a:rPr lang="fr-FR" sz="1050" b="1" i="0">
              <a:solidFill>
                <a:schemeClr val="tx2">
                  <a:lumMod val="7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)</a:t>
          </a:r>
          <a:r>
            <a:rPr lang="fr-FR" sz="1050" b="0" i="0">
              <a:solidFill>
                <a:schemeClr val="tx2">
                  <a:lumMod val="7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, </a:t>
          </a:r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l'écartement mesuré en cm </a:t>
          </a:r>
          <a:r>
            <a:rPr lang="fr-FR" sz="1050" b="0" i="0" u="sng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sur</a:t>
          </a:r>
          <a:r>
            <a:rPr lang="fr-FR" sz="1050" b="0" i="0" u="sng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l'ossature </a:t>
          </a:r>
          <a:r>
            <a:rPr lang="fr-FR" sz="1050" b="0" i="0" u="sng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intérieure</a:t>
          </a:r>
          <a:r>
            <a:rPr lang="fr-FR" sz="1050" b="0" i="0" u="none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</a:t>
          </a:r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entre 2 poteaux de référence (angle / fenêtre / porte / colonne d'appui).</a:t>
          </a:r>
        </a:p>
        <a:p>
          <a:pPr algn="just"/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En théorie le nombre de poteaux </a:t>
          </a:r>
          <a:r>
            <a:rPr lang="fr-FR" sz="1050" b="1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P </a:t>
          </a:r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pour un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écartement de 60cm (+10 cm de poteau), se calcule selon la formule </a:t>
          </a:r>
        </a:p>
        <a:p>
          <a:pPr algn="ctr"/>
          <a:r>
            <a:rPr lang="fr-FR" sz="1050" b="1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P = </a:t>
          </a:r>
          <a:r>
            <a:rPr lang="fr-FR" sz="1050" b="1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L÷ (60+10)</a:t>
          </a:r>
          <a:r>
            <a:rPr lang="fr-FR" sz="1050" b="1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</a:t>
          </a:r>
        </a:p>
        <a:p>
          <a:pPr algn="ctr"/>
          <a:r>
            <a:rPr lang="fr-FR" sz="1050" b="1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arrondi à l'entier inférieur.</a:t>
          </a:r>
          <a:endParaRPr lang="fr-FR" sz="1050" b="1" i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  <a:p>
          <a:pPr algn="just"/>
          <a:endParaRPr lang="fr-FR" sz="1050">
            <a:latin typeface="Dosis" panose="02010803020202060003" pitchFamily="2" charset="0"/>
            <a:cs typeface="Arial" pitchFamily="34" charset="0"/>
          </a:endParaRPr>
        </a:p>
        <a:p>
          <a:pPr algn="just"/>
          <a:r>
            <a:rPr lang="fr-FR" sz="1050" b="0" i="0" u="sng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2- Calcul de l'écartement entre les poteaux :</a:t>
          </a:r>
          <a:endParaRPr lang="fr-FR" sz="1050" b="0" i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  <a:p>
          <a:pPr algn="just"/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Pour connaitre l'écartement des poteaux,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utiliser la formule suivante :</a:t>
          </a:r>
        </a:p>
        <a:p>
          <a:pPr algn="ctr"/>
          <a:r>
            <a:rPr lang="fr-FR" sz="1050" b="1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Ecartement = L - (10 x P) ÷ (P + 1)</a:t>
          </a:r>
        </a:p>
        <a:p>
          <a:pPr algn="just"/>
          <a:endParaRPr lang="fr-FR" sz="1050" b="1" i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  <a:p>
          <a:pPr algn="just"/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3- Pour optimiser le travail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(</a:t>
          </a:r>
          <a:r>
            <a:rPr lang="fr-FR" sz="1050" b="1" i="0" baseline="0">
              <a:solidFill>
                <a:schemeClr val="accent6">
                  <a:lumMod val="75000"/>
                </a:schemeClr>
              </a:solidFill>
              <a:latin typeface="Dosis" panose="02010803020202060003" pitchFamily="2" charset="0"/>
              <a:ea typeface="+mn-ea"/>
              <a:cs typeface="Arial" pitchFamily="34" charset="0"/>
            </a:rPr>
            <a:t>en jaune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)</a:t>
          </a:r>
          <a:r>
            <a:rPr lang="fr-FR" sz="1050" b="0" i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, il est possible de mettre 1 ou 2 paires de poteaux en moins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. Le gain est possible à partir de </a:t>
          </a:r>
          <a:r>
            <a:rPr lang="fr-FR" sz="1050" b="1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4m90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 pour une paire et </a:t>
          </a:r>
          <a:r>
            <a:rPr lang="fr-FR" sz="1050" b="1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16m50 </a:t>
          </a:r>
          <a:r>
            <a:rPr lang="fr-FR" sz="1050" b="0" i="0" baseline="0">
              <a:solidFill>
                <a:schemeClr val="dk1"/>
              </a:solidFill>
              <a:latin typeface="Dosis" panose="02010803020202060003" pitchFamily="2" charset="0"/>
              <a:ea typeface="+mn-ea"/>
              <a:cs typeface="Arial" pitchFamily="34" charset="0"/>
            </a:rPr>
            <a:t>pour 2 paires.</a:t>
          </a:r>
          <a:endParaRPr lang="fr-FR" sz="1050" b="0" i="0">
            <a:solidFill>
              <a:schemeClr val="dk1"/>
            </a:solidFill>
            <a:latin typeface="Dosis" panose="02010803020202060003" pitchFamily="2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1</xdr:col>
      <xdr:colOff>778933</xdr:colOff>
      <xdr:row>13</xdr:row>
      <xdr:rowOff>16933</xdr:rowOff>
    </xdr:from>
    <xdr:to>
      <xdr:col>13</xdr:col>
      <xdr:colOff>778933</xdr:colOff>
      <xdr:row>29</xdr:row>
      <xdr:rowOff>55033</xdr:rowOff>
    </xdr:to>
    <xdr:grpSp>
      <xdr:nvGrpSpPr>
        <xdr:cNvPr id="8194" name="Groupe 14">
          <a:extLst>
            <a:ext uri="{FF2B5EF4-FFF2-40B4-BE49-F238E27FC236}">
              <a16:creationId xmlns:a16="http://schemas.microsoft.com/office/drawing/2014/main" id="{F2722D43-6AF9-4B4B-B311-1DB67149540F}"/>
            </a:ext>
          </a:extLst>
        </xdr:cNvPr>
        <xdr:cNvGrpSpPr>
          <a:grpSpLocks/>
        </xdr:cNvGrpSpPr>
      </xdr:nvGrpSpPr>
      <xdr:grpSpPr bwMode="auto">
        <a:xfrm>
          <a:off x="1147837" y="3724123"/>
          <a:ext cx="9893906" cy="3249386"/>
          <a:chOff x="684441" y="3638550"/>
          <a:chExt cx="9122390" cy="3299335"/>
        </a:xfrm>
      </xdr:grpSpPr>
      <xdr:cxnSp macro="">
        <xdr:nvCxnSpPr>
          <xdr:cNvPr id="32" name="Connecteur droit avec flèche 31">
            <a:extLst>
              <a:ext uri="{FF2B5EF4-FFF2-40B4-BE49-F238E27FC236}">
                <a16:creationId xmlns:a16="http://schemas.microsoft.com/office/drawing/2014/main" id="{F453ED68-6C84-E5AA-9FF4-327F6135D1F6}"/>
              </a:ext>
            </a:extLst>
          </xdr:cNvPr>
          <xdr:cNvCxnSpPr/>
        </xdr:nvCxnSpPr>
        <xdr:spPr bwMode="auto">
          <a:xfrm flipV="1">
            <a:off x="751028" y="6821438"/>
            <a:ext cx="8981382" cy="12939"/>
          </a:xfrm>
          <a:prstGeom prst="straightConnector1">
            <a:avLst/>
          </a:prstGeom>
          <a:ln w="28575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8198" name="Image 20" descr="pour feuille de calcul.jpg">
            <a:extLst>
              <a:ext uri="{FF2B5EF4-FFF2-40B4-BE49-F238E27FC236}">
                <a16:creationId xmlns:a16="http://schemas.microsoft.com/office/drawing/2014/main" id="{2CCA4F81-E91B-2722-78D6-CB6A4FAB4A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3619" b="24518"/>
          <a:stretch>
            <a:fillRect/>
          </a:stretch>
        </xdr:blipFill>
        <xdr:spPr bwMode="auto">
          <a:xfrm>
            <a:off x="771525" y="3638550"/>
            <a:ext cx="8480051" cy="24384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4" name="Connecteur droit 33">
            <a:extLst>
              <a:ext uri="{FF2B5EF4-FFF2-40B4-BE49-F238E27FC236}">
                <a16:creationId xmlns:a16="http://schemas.microsoft.com/office/drawing/2014/main" id="{1A4700DA-3B0B-48E6-C80D-228AF7066B6A}"/>
              </a:ext>
            </a:extLst>
          </xdr:cNvPr>
          <xdr:cNvCxnSpPr/>
        </xdr:nvCxnSpPr>
        <xdr:spPr>
          <a:xfrm rot="16200000" flipH="1">
            <a:off x="8543327" y="5635565"/>
            <a:ext cx="1414616" cy="111239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Connecteur droit 34">
            <a:extLst>
              <a:ext uri="{FF2B5EF4-FFF2-40B4-BE49-F238E27FC236}">
                <a16:creationId xmlns:a16="http://schemas.microsoft.com/office/drawing/2014/main" id="{ADA56EBE-B30F-AE43-35AD-40646CA26DF4}"/>
              </a:ext>
            </a:extLst>
          </xdr:cNvPr>
          <xdr:cNvCxnSpPr/>
        </xdr:nvCxnSpPr>
        <xdr:spPr>
          <a:xfrm rot="5400000">
            <a:off x="402488" y="5770719"/>
            <a:ext cx="1449120" cy="88521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Connecteur droit 35">
            <a:extLst>
              <a:ext uri="{FF2B5EF4-FFF2-40B4-BE49-F238E27FC236}">
                <a16:creationId xmlns:a16="http://schemas.microsoft.com/office/drawing/2014/main" id="{C8FF65DA-C36D-8935-2D51-AEBC3D55695D}"/>
              </a:ext>
            </a:extLst>
          </xdr:cNvPr>
          <xdr:cNvCxnSpPr/>
        </xdr:nvCxnSpPr>
        <xdr:spPr>
          <a:xfrm rot="5400000">
            <a:off x="3641906" y="5763466"/>
            <a:ext cx="720247" cy="10183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Connecteur droit 36">
            <a:extLst>
              <a:ext uri="{FF2B5EF4-FFF2-40B4-BE49-F238E27FC236}">
                <a16:creationId xmlns:a16="http://schemas.microsoft.com/office/drawing/2014/main" id="{9DC71F78-B0FB-E56A-A6FB-E01137472F2C}"/>
              </a:ext>
            </a:extLst>
          </xdr:cNvPr>
          <xdr:cNvCxnSpPr/>
        </xdr:nvCxnSpPr>
        <xdr:spPr>
          <a:xfrm rot="16200000" flipH="1">
            <a:off x="4748620" y="5803999"/>
            <a:ext cx="715934" cy="783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Forme libre 48">
            <a:extLst>
              <a:ext uri="{FF2B5EF4-FFF2-40B4-BE49-F238E27FC236}">
                <a16:creationId xmlns:a16="http://schemas.microsoft.com/office/drawing/2014/main" id="{6A3CF5A1-E61B-C5E0-B442-9C1D90B25A4D}"/>
              </a:ext>
            </a:extLst>
          </xdr:cNvPr>
          <xdr:cNvSpPr/>
        </xdr:nvSpPr>
        <xdr:spPr>
          <a:xfrm>
            <a:off x="6164142" y="5363692"/>
            <a:ext cx="618865" cy="746124"/>
          </a:xfrm>
          <a:custGeom>
            <a:avLst/>
            <a:gdLst>
              <a:gd name="connsiteX0" fmla="*/ 0 w 481853"/>
              <a:gd name="connsiteY0" fmla="*/ 240927 h 896471"/>
              <a:gd name="connsiteX1" fmla="*/ 240927 w 481853"/>
              <a:gd name="connsiteY1" fmla="*/ 0 h 896471"/>
              <a:gd name="connsiteX2" fmla="*/ 481853 w 481853"/>
              <a:gd name="connsiteY2" fmla="*/ 240927 h 896471"/>
              <a:gd name="connsiteX3" fmla="*/ 361390 w 481853"/>
              <a:gd name="connsiteY3" fmla="*/ 240927 h 896471"/>
              <a:gd name="connsiteX4" fmla="*/ 361390 w 481853"/>
              <a:gd name="connsiteY4" fmla="*/ 896471 h 896471"/>
              <a:gd name="connsiteX5" fmla="*/ 120463 w 481853"/>
              <a:gd name="connsiteY5" fmla="*/ 896471 h 896471"/>
              <a:gd name="connsiteX6" fmla="*/ 120463 w 481853"/>
              <a:gd name="connsiteY6" fmla="*/ 240927 h 896471"/>
              <a:gd name="connsiteX7" fmla="*/ 0 w 481853"/>
              <a:gd name="connsiteY7" fmla="*/ 240927 h 896471"/>
              <a:gd name="connsiteX0" fmla="*/ 0 w 525220"/>
              <a:gd name="connsiteY0" fmla="*/ 240927 h 896471"/>
              <a:gd name="connsiteX1" fmla="*/ 240927 w 525220"/>
              <a:gd name="connsiteY1" fmla="*/ 0 h 896471"/>
              <a:gd name="connsiteX2" fmla="*/ 481853 w 525220"/>
              <a:gd name="connsiteY2" fmla="*/ 240927 h 896471"/>
              <a:gd name="connsiteX3" fmla="*/ 361390 w 525220"/>
              <a:gd name="connsiteY3" fmla="*/ 240927 h 896471"/>
              <a:gd name="connsiteX4" fmla="*/ 525220 w 525220"/>
              <a:gd name="connsiteY4" fmla="*/ 892651 h 896471"/>
              <a:gd name="connsiteX5" fmla="*/ 120463 w 525220"/>
              <a:gd name="connsiteY5" fmla="*/ 896471 h 896471"/>
              <a:gd name="connsiteX6" fmla="*/ 120463 w 525220"/>
              <a:gd name="connsiteY6" fmla="*/ 240927 h 896471"/>
              <a:gd name="connsiteX7" fmla="*/ 0 w 525220"/>
              <a:gd name="connsiteY7" fmla="*/ 240927 h 896471"/>
              <a:gd name="connsiteX0" fmla="*/ 35747 w 560967"/>
              <a:gd name="connsiteY0" fmla="*/ 240927 h 900291"/>
              <a:gd name="connsiteX1" fmla="*/ 276674 w 560967"/>
              <a:gd name="connsiteY1" fmla="*/ 0 h 900291"/>
              <a:gd name="connsiteX2" fmla="*/ 517600 w 560967"/>
              <a:gd name="connsiteY2" fmla="*/ 240927 h 900291"/>
              <a:gd name="connsiteX3" fmla="*/ 397137 w 560967"/>
              <a:gd name="connsiteY3" fmla="*/ 240927 h 900291"/>
              <a:gd name="connsiteX4" fmla="*/ 560967 w 560967"/>
              <a:gd name="connsiteY4" fmla="*/ 892651 h 900291"/>
              <a:gd name="connsiteX5" fmla="*/ 0 w 560967"/>
              <a:gd name="connsiteY5" fmla="*/ 900291 h 900291"/>
              <a:gd name="connsiteX6" fmla="*/ 156210 w 560967"/>
              <a:gd name="connsiteY6" fmla="*/ 240927 h 900291"/>
              <a:gd name="connsiteX7" fmla="*/ 35747 w 560967"/>
              <a:gd name="connsiteY7" fmla="*/ 240927 h 900291"/>
              <a:gd name="connsiteX0" fmla="*/ 35747 w 660027"/>
              <a:gd name="connsiteY0" fmla="*/ 240927 h 900291"/>
              <a:gd name="connsiteX1" fmla="*/ 276674 w 660027"/>
              <a:gd name="connsiteY1" fmla="*/ 0 h 900291"/>
              <a:gd name="connsiteX2" fmla="*/ 517600 w 660027"/>
              <a:gd name="connsiteY2" fmla="*/ 240927 h 900291"/>
              <a:gd name="connsiteX3" fmla="*/ 397137 w 660027"/>
              <a:gd name="connsiteY3" fmla="*/ 240927 h 900291"/>
              <a:gd name="connsiteX4" fmla="*/ 660027 w 660027"/>
              <a:gd name="connsiteY4" fmla="*/ 892651 h 900291"/>
              <a:gd name="connsiteX5" fmla="*/ 0 w 660027"/>
              <a:gd name="connsiteY5" fmla="*/ 900291 h 900291"/>
              <a:gd name="connsiteX6" fmla="*/ 156210 w 660027"/>
              <a:gd name="connsiteY6" fmla="*/ 240927 h 900291"/>
              <a:gd name="connsiteX7" fmla="*/ 35747 w 660027"/>
              <a:gd name="connsiteY7" fmla="*/ 240927 h 900291"/>
              <a:gd name="connsiteX0" fmla="*/ 35747 w 660027"/>
              <a:gd name="connsiteY0" fmla="*/ 149258 h 808622"/>
              <a:gd name="connsiteX1" fmla="*/ 280484 w 660027"/>
              <a:gd name="connsiteY1" fmla="*/ 0 h 808622"/>
              <a:gd name="connsiteX2" fmla="*/ 517600 w 660027"/>
              <a:gd name="connsiteY2" fmla="*/ 149258 h 808622"/>
              <a:gd name="connsiteX3" fmla="*/ 397137 w 660027"/>
              <a:gd name="connsiteY3" fmla="*/ 149258 h 808622"/>
              <a:gd name="connsiteX4" fmla="*/ 660027 w 660027"/>
              <a:gd name="connsiteY4" fmla="*/ 800982 h 808622"/>
              <a:gd name="connsiteX5" fmla="*/ 0 w 660027"/>
              <a:gd name="connsiteY5" fmla="*/ 808622 h 808622"/>
              <a:gd name="connsiteX6" fmla="*/ 156210 w 660027"/>
              <a:gd name="connsiteY6" fmla="*/ 149258 h 808622"/>
              <a:gd name="connsiteX7" fmla="*/ 35747 w 660027"/>
              <a:gd name="connsiteY7" fmla="*/ 149258 h 808622"/>
              <a:gd name="connsiteX0" fmla="*/ 35747 w 660027"/>
              <a:gd name="connsiteY0" fmla="*/ 149258 h 808622"/>
              <a:gd name="connsiteX1" fmla="*/ 280484 w 660027"/>
              <a:gd name="connsiteY1" fmla="*/ 0 h 808622"/>
              <a:gd name="connsiteX2" fmla="*/ 517600 w 660027"/>
              <a:gd name="connsiteY2" fmla="*/ 149258 h 808622"/>
              <a:gd name="connsiteX3" fmla="*/ 397137 w 660027"/>
              <a:gd name="connsiteY3" fmla="*/ 149258 h 808622"/>
              <a:gd name="connsiteX4" fmla="*/ 660027 w 660027"/>
              <a:gd name="connsiteY4" fmla="*/ 800982 h 808622"/>
              <a:gd name="connsiteX5" fmla="*/ 0 w 660027"/>
              <a:gd name="connsiteY5" fmla="*/ 808622 h 808622"/>
              <a:gd name="connsiteX6" fmla="*/ 205740 w 660027"/>
              <a:gd name="connsiteY6" fmla="*/ 149258 h 808622"/>
              <a:gd name="connsiteX7" fmla="*/ 35747 w 660027"/>
              <a:gd name="connsiteY7" fmla="*/ 149258 h 808622"/>
              <a:gd name="connsiteX0" fmla="*/ 35747 w 660027"/>
              <a:gd name="connsiteY0" fmla="*/ 149258 h 808622"/>
              <a:gd name="connsiteX1" fmla="*/ 280484 w 660027"/>
              <a:gd name="connsiteY1" fmla="*/ 0 h 808622"/>
              <a:gd name="connsiteX2" fmla="*/ 517600 w 660027"/>
              <a:gd name="connsiteY2" fmla="*/ 149258 h 808622"/>
              <a:gd name="connsiteX3" fmla="*/ 336177 w 660027"/>
              <a:gd name="connsiteY3" fmla="*/ 145439 h 808622"/>
              <a:gd name="connsiteX4" fmla="*/ 660027 w 660027"/>
              <a:gd name="connsiteY4" fmla="*/ 800982 h 808622"/>
              <a:gd name="connsiteX5" fmla="*/ 0 w 660027"/>
              <a:gd name="connsiteY5" fmla="*/ 808622 h 808622"/>
              <a:gd name="connsiteX6" fmla="*/ 205740 w 660027"/>
              <a:gd name="connsiteY6" fmla="*/ 149258 h 808622"/>
              <a:gd name="connsiteX7" fmla="*/ 35747 w 660027"/>
              <a:gd name="connsiteY7" fmla="*/ 149258 h 808622"/>
              <a:gd name="connsiteX0" fmla="*/ 35747 w 660027"/>
              <a:gd name="connsiteY0" fmla="*/ 149258 h 808622"/>
              <a:gd name="connsiteX1" fmla="*/ 280484 w 660027"/>
              <a:gd name="connsiteY1" fmla="*/ 0 h 808622"/>
              <a:gd name="connsiteX2" fmla="*/ 517600 w 660027"/>
              <a:gd name="connsiteY2" fmla="*/ 149258 h 808622"/>
              <a:gd name="connsiteX3" fmla="*/ 343797 w 660027"/>
              <a:gd name="connsiteY3" fmla="*/ 149258 h 808622"/>
              <a:gd name="connsiteX4" fmla="*/ 660027 w 660027"/>
              <a:gd name="connsiteY4" fmla="*/ 800982 h 808622"/>
              <a:gd name="connsiteX5" fmla="*/ 0 w 660027"/>
              <a:gd name="connsiteY5" fmla="*/ 808622 h 808622"/>
              <a:gd name="connsiteX6" fmla="*/ 205740 w 660027"/>
              <a:gd name="connsiteY6" fmla="*/ 149258 h 808622"/>
              <a:gd name="connsiteX7" fmla="*/ 35747 w 660027"/>
              <a:gd name="connsiteY7" fmla="*/ 149258 h 8086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</a:cxnLst>
            <a:rect l="l" t="t" r="r" b="b"/>
            <a:pathLst>
              <a:path w="660027" h="808622">
                <a:moveTo>
                  <a:pt x="35747" y="149258"/>
                </a:moveTo>
                <a:lnTo>
                  <a:pt x="280484" y="0"/>
                </a:lnTo>
                <a:lnTo>
                  <a:pt x="517600" y="149258"/>
                </a:lnTo>
                <a:lnTo>
                  <a:pt x="343797" y="149258"/>
                </a:lnTo>
                <a:lnTo>
                  <a:pt x="660027" y="800982"/>
                </a:lnTo>
                <a:lnTo>
                  <a:pt x="0" y="808622"/>
                </a:lnTo>
                <a:lnTo>
                  <a:pt x="205740" y="149258"/>
                </a:lnTo>
                <a:lnTo>
                  <a:pt x="35747" y="149258"/>
                </a:lnTo>
                <a:close/>
              </a:path>
            </a:pathLst>
          </a:custGeom>
          <a:solidFill>
            <a:schemeClr val="tx1">
              <a:lumMod val="65000"/>
              <a:lumOff val="3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endParaRPr lang="fr-FR"/>
          </a:p>
        </xdr:txBody>
      </xdr:sp>
      <xdr:cxnSp macro="">
        <xdr:nvCxnSpPr>
          <xdr:cNvPr id="39" name="Connecteur droit avec flèche 38">
            <a:extLst>
              <a:ext uri="{FF2B5EF4-FFF2-40B4-BE49-F238E27FC236}">
                <a16:creationId xmlns:a16="http://schemas.microsoft.com/office/drawing/2014/main" id="{27336D82-E71A-F367-F97D-000A31F9051E}"/>
              </a:ext>
            </a:extLst>
          </xdr:cNvPr>
          <xdr:cNvCxnSpPr/>
        </xdr:nvCxnSpPr>
        <xdr:spPr bwMode="auto">
          <a:xfrm flipV="1">
            <a:off x="3966778" y="6001996"/>
            <a:ext cx="1135892" cy="0"/>
          </a:xfrm>
          <a:prstGeom prst="straightConnector1">
            <a:avLst/>
          </a:prstGeom>
          <a:ln w="28575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Connecteur droit 39">
            <a:extLst>
              <a:ext uri="{FF2B5EF4-FFF2-40B4-BE49-F238E27FC236}">
                <a16:creationId xmlns:a16="http://schemas.microsoft.com/office/drawing/2014/main" id="{67BAB980-E3CB-8BB4-8D3B-3255FBDA48AD}"/>
              </a:ext>
            </a:extLst>
          </xdr:cNvPr>
          <xdr:cNvCxnSpPr/>
        </xdr:nvCxnSpPr>
        <xdr:spPr>
          <a:xfrm rot="16200000" flipH="1">
            <a:off x="6758611" y="5129317"/>
            <a:ext cx="616739" cy="567947"/>
          </a:xfrm>
          <a:prstGeom prst="line">
            <a:avLst/>
          </a:prstGeom>
          <a:ln w="28575">
            <a:solidFill>
              <a:schemeClr val="bg1"/>
            </a:solidFill>
            <a:prstDash val="lgDashDot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40">
            <a:extLst>
              <a:ext uri="{FF2B5EF4-FFF2-40B4-BE49-F238E27FC236}">
                <a16:creationId xmlns:a16="http://schemas.microsoft.com/office/drawing/2014/main" id="{1232016E-EC01-4ABB-639B-3A7DC4B8DDC7}"/>
              </a:ext>
            </a:extLst>
          </xdr:cNvPr>
          <xdr:cNvCxnSpPr/>
        </xdr:nvCxnSpPr>
        <xdr:spPr>
          <a:xfrm rot="16200000" flipH="1">
            <a:off x="6647178" y="5140496"/>
            <a:ext cx="612425" cy="575780"/>
          </a:xfrm>
          <a:prstGeom prst="line">
            <a:avLst/>
          </a:prstGeom>
          <a:ln w="28575">
            <a:solidFill>
              <a:schemeClr val="bg1"/>
            </a:solidFill>
            <a:prstDash val="lgDashDot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367952</xdr:colOff>
      <xdr:row>3</xdr:row>
      <xdr:rowOff>91142</xdr:rowOff>
    </xdr:from>
    <xdr:to>
      <xdr:col>6</xdr:col>
      <xdr:colOff>103835</xdr:colOff>
      <xdr:row>5</xdr:row>
      <xdr:rowOff>256760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8A540758-6A67-CF9B-44BB-F147EB0EE942}"/>
            </a:ext>
          </a:extLst>
        </xdr:cNvPr>
        <xdr:cNvSpPr/>
      </xdr:nvSpPr>
      <xdr:spPr>
        <a:xfrm>
          <a:off x="367952" y="958975"/>
          <a:ext cx="4214750" cy="81333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fr-FR"/>
        </a:p>
      </xdr:txBody>
    </xdr:sp>
    <xdr:clientData/>
  </xdr:twoCellAnchor>
  <xdr:twoCellAnchor editAs="oneCell">
    <xdr:from>
      <xdr:col>4</xdr:col>
      <xdr:colOff>402167</xdr:colOff>
      <xdr:row>10</xdr:row>
      <xdr:rowOff>25400</xdr:rowOff>
    </xdr:from>
    <xdr:to>
      <xdr:col>5</xdr:col>
      <xdr:colOff>677333</xdr:colOff>
      <xdr:row>12</xdr:row>
      <xdr:rowOff>448733</xdr:rowOff>
    </xdr:to>
    <xdr:pic>
      <xdr:nvPicPr>
        <xdr:cNvPr id="8196" name="Image 1">
          <a:extLst>
            <a:ext uri="{FF2B5EF4-FFF2-40B4-BE49-F238E27FC236}">
              <a16:creationId xmlns:a16="http://schemas.microsoft.com/office/drawing/2014/main" id="{3E3FF45D-C0D8-5EB4-77D4-AF48F0832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0100" y="2671233"/>
          <a:ext cx="986367" cy="88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4"/>
    <pageSetUpPr fitToPage="1"/>
  </sheetPr>
  <dimension ref="B2:N80"/>
  <sheetViews>
    <sheetView showGridLines="0" topLeftCell="A43" zoomScale="85" zoomScaleNormal="85" workbookViewId="0">
      <selection activeCell="C53" sqref="C53:C55"/>
    </sheetView>
  </sheetViews>
  <sheetFormatPr baseColWidth="10" defaultRowHeight="14.35" x14ac:dyDescent="0.5"/>
  <cols>
    <col min="1" max="1" width="8.87890625" customWidth="1"/>
    <col min="2" max="2" width="25.1171875" customWidth="1"/>
    <col min="3" max="3" width="8.41015625" customWidth="1"/>
    <col min="4" max="9" width="7.703125" customWidth="1"/>
    <col min="10" max="10" width="8.87890625" customWidth="1"/>
    <col min="11" max="11" width="9" customWidth="1"/>
    <col min="12" max="12" width="9.41015625" customWidth="1"/>
    <col min="13" max="13" width="8.5859375" customWidth="1"/>
    <col min="14" max="14" width="7.87890625" customWidth="1"/>
    <col min="15" max="15" width="4.703125" customWidth="1"/>
  </cols>
  <sheetData>
    <row r="2" spans="2:9" ht="42.75" customHeight="1" x14ac:dyDescent="0.5">
      <c r="B2" s="216" t="s">
        <v>201</v>
      </c>
      <c r="C2" s="217"/>
      <c r="D2" s="217"/>
      <c r="E2" s="217"/>
      <c r="F2" s="217"/>
      <c r="G2" s="217"/>
      <c r="H2" s="217"/>
      <c r="I2" s="218"/>
    </row>
    <row r="3" spans="2:9" ht="14.25" customHeight="1" x14ac:dyDescent="0.5">
      <c r="B3" s="1"/>
      <c r="C3" s="1"/>
      <c r="D3" s="1"/>
      <c r="E3" s="1"/>
      <c r="F3" s="1"/>
      <c r="G3" s="1"/>
      <c r="H3" s="1"/>
    </row>
    <row r="4" spans="2:9" ht="17.25" customHeight="1" x14ac:dyDescent="0.5">
      <c r="B4" s="219" t="s">
        <v>200</v>
      </c>
      <c r="C4" s="220"/>
      <c r="D4" s="220"/>
      <c r="E4" s="220"/>
      <c r="F4" s="220"/>
      <c r="G4" s="220"/>
      <c r="H4" s="220"/>
      <c r="I4" s="220"/>
    </row>
    <row r="5" spans="2:9" ht="11.25" customHeight="1" thickBot="1" x14ac:dyDescent="0.55000000000000004">
      <c r="B5" s="3"/>
      <c r="C5" s="3"/>
      <c r="D5" s="3"/>
      <c r="E5" s="3"/>
      <c r="F5" s="3"/>
      <c r="G5" s="3"/>
      <c r="H5" s="3"/>
      <c r="I5" s="3"/>
    </row>
    <row r="6" spans="2:9" ht="20.45" customHeight="1" thickTop="1" thickBot="1" x14ac:dyDescent="0.55000000000000004">
      <c r="B6" s="221" t="s">
        <v>0</v>
      </c>
      <c r="C6" s="222"/>
      <c r="D6" s="222"/>
      <c r="E6" s="222"/>
      <c r="F6" s="222"/>
      <c r="G6" s="222"/>
      <c r="H6" s="222"/>
      <c r="I6" s="223"/>
    </row>
    <row r="7" spans="2:9" ht="16.5" customHeight="1" thickTop="1" x14ac:dyDescent="0.5">
      <c r="B7" s="3"/>
      <c r="C7" s="3"/>
      <c r="D7" s="3"/>
      <c r="E7" s="3"/>
      <c r="F7" s="3"/>
      <c r="G7" s="3"/>
      <c r="H7" s="3"/>
      <c r="I7" s="3"/>
    </row>
    <row r="8" spans="2:9" x14ac:dyDescent="0.5">
      <c r="B8" s="214" t="s">
        <v>1</v>
      </c>
      <c r="C8" s="214"/>
      <c r="D8" s="3"/>
      <c r="E8" s="214" t="s">
        <v>2</v>
      </c>
      <c r="F8" s="214"/>
      <c r="G8" s="214"/>
      <c r="H8" s="214"/>
      <c r="I8" s="3"/>
    </row>
    <row r="9" spans="2:9" x14ac:dyDescent="0.5">
      <c r="B9" s="4" t="s">
        <v>3</v>
      </c>
      <c r="C9" s="5"/>
      <c r="E9" s="215" t="s">
        <v>4</v>
      </c>
      <c r="F9" s="215"/>
      <c r="G9" s="215"/>
      <c r="H9" s="7"/>
    </row>
    <row r="10" spans="2:9" ht="31.5" customHeight="1" x14ac:dyDescent="0.5">
      <c r="B10" s="8" t="s">
        <v>5</v>
      </c>
      <c r="C10" s="5"/>
      <c r="E10" s="224" t="s">
        <v>6</v>
      </c>
      <c r="F10" s="224"/>
      <c r="G10" s="224"/>
      <c r="H10" s="9"/>
    </row>
    <row r="11" spans="2:9" ht="14.7" thickBot="1" x14ac:dyDescent="0.55000000000000004">
      <c r="D11" s="10"/>
    </row>
    <row r="12" spans="2:9" ht="20.45" customHeight="1" thickTop="1" thickBot="1" x14ac:dyDescent="0.55000000000000004">
      <c r="B12" s="221" t="s">
        <v>7</v>
      </c>
      <c r="C12" s="222"/>
      <c r="D12" s="222"/>
      <c r="E12" s="222"/>
      <c r="F12" s="222"/>
      <c r="G12" s="222"/>
      <c r="H12" s="222"/>
      <c r="I12" s="223"/>
    </row>
    <row r="13" spans="2:9" ht="18.75" customHeight="1" thickTop="1" x14ac:dyDescent="0.5">
      <c r="H13" s="11"/>
    </row>
    <row r="14" spans="2:9" x14ac:dyDescent="0.5">
      <c r="B14" s="214" t="s">
        <v>1</v>
      </c>
      <c r="C14" s="214"/>
      <c r="D14" s="12"/>
      <c r="E14" s="214" t="s">
        <v>2</v>
      </c>
      <c r="F14" s="214"/>
      <c r="G14" s="214"/>
      <c r="H14" s="214"/>
    </row>
    <row r="15" spans="2:9" x14ac:dyDescent="0.5">
      <c r="B15" s="4" t="s">
        <v>3</v>
      </c>
      <c r="C15" s="5"/>
      <c r="E15" s="215" t="s">
        <v>4</v>
      </c>
      <c r="F15" s="215"/>
      <c r="G15" s="215"/>
      <c r="H15" s="7"/>
    </row>
    <row r="16" spans="2:9" ht="31.5" customHeight="1" x14ac:dyDescent="0.5">
      <c r="B16" s="8" t="s">
        <v>5</v>
      </c>
      <c r="C16" s="5"/>
      <c r="E16" s="224" t="s">
        <v>6</v>
      </c>
      <c r="F16" s="224"/>
      <c r="G16" s="224"/>
      <c r="H16" s="9"/>
    </row>
    <row r="17" spans="2:11" ht="14.7" thickBot="1" x14ac:dyDescent="0.55000000000000004">
      <c r="B17" s="13"/>
      <c r="C17" s="14"/>
      <c r="G17" s="10"/>
      <c r="H17" s="10"/>
      <c r="I17" s="10"/>
      <c r="J17" s="10"/>
      <c r="K17" s="10"/>
    </row>
    <row r="18" spans="2:11" ht="20.45" customHeight="1" thickTop="1" thickBot="1" x14ac:dyDescent="0.55000000000000004">
      <c r="B18" s="221" t="s">
        <v>8</v>
      </c>
      <c r="C18" s="222"/>
      <c r="D18" s="222"/>
      <c r="E18" s="222"/>
      <c r="F18" s="222"/>
      <c r="G18" s="222"/>
      <c r="H18" s="222"/>
      <c r="I18" s="223"/>
      <c r="J18" s="10"/>
      <c r="K18" s="10"/>
    </row>
    <row r="19" spans="2:11" ht="14.7" thickTop="1" x14ac:dyDescent="0.5">
      <c r="B19" s="13"/>
      <c r="C19" s="14"/>
      <c r="G19" s="10"/>
      <c r="H19" s="10"/>
      <c r="I19" s="10"/>
      <c r="J19" s="10"/>
      <c r="K19" s="10"/>
    </row>
    <row r="20" spans="2:11" x14ac:dyDescent="0.5">
      <c r="B20" s="214" t="s">
        <v>1</v>
      </c>
      <c r="C20" s="214"/>
      <c r="E20" s="214" t="s">
        <v>2</v>
      </c>
      <c r="F20" s="214"/>
      <c r="G20" s="214"/>
      <c r="H20" s="214"/>
      <c r="I20" s="10"/>
      <c r="J20" s="10"/>
      <c r="K20" s="10"/>
    </row>
    <row r="21" spans="2:11" x14ac:dyDescent="0.5">
      <c r="B21" s="4" t="s">
        <v>3</v>
      </c>
      <c r="C21" s="5"/>
      <c r="E21" s="215" t="s">
        <v>4</v>
      </c>
      <c r="F21" s="215"/>
      <c r="G21" s="215"/>
      <c r="H21" s="7"/>
      <c r="I21" s="10"/>
      <c r="J21" s="10"/>
      <c r="K21" s="10"/>
    </row>
    <row r="22" spans="2:11" ht="30.75" customHeight="1" x14ac:dyDescent="0.5">
      <c r="B22" s="8" t="s">
        <v>5</v>
      </c>
      <c r="C22" s="5"/>
      <c r="E22" s="224" t="s">
        <v>6</v>
      </c>
      <c r="F22" s="224"/>
      <c r="G22" s="224"/>
      <c r="H22" s="9"/>
      <c r="I22" s="10"/>
      <c r="J22" s="10"/>
      <c r="K22" s="10"/>
    </row>
    <row r="23" spans="2:11" ht="14.7" thickBot="1" x14ac:dyDescent="0.55000000000000004">
      <c r="B23" s="13"/>
      <c r="C23" s="14"/>
      <c r="G23" s="10"/>
      <c r="H23" s="10"/>
      <c r="I23" s="10"/>
      <c r="J23" s="10"/>
      <c r="K23" s="10"/>
    </row>
    <row r="24" spans="2:11" ht="20.45" customHeight="1" thickTop="1" thickBot="1" x14ac:dyDescent="0.55000000000000004">
      <c r="B24" s="221" t="s">
        <v>9</v>
      </c>
      <c r="C24" s="222"/>
      <c r="D24" s="222"/>
      <c r="E24" s="222"/>
      <c r="F24" s="222"/>
      <c r="G24" s="222"/>
      <c r="H24" s="222"/>
      <c r="I24" s="223"/>
      <c r="J24" s="10"/>
      <c r="K24" s="10"/>
    </row>
    <row r="25" spans="2:11" ht="20.25" customHeight="1" thickTop="1" x14ac:dyDescent="0.5">
      <c r="B25" s="15"/>
      <c r="C25" s="15"/>
      <c r="D25" s="15"/>
      <c r="E25" s="15"/>
      <c r="F25" s="15"/>
      <c r="G25" s="15"/>
      <c r="H25" s="15"/>
      <c r="I25" s="10"/>
      <c r="J25" s="10"/>
      <c r="K25" s="10"/>
    </row>
    <row r="26" spans="2:11" ht="12.75" customHeight="1" x14ac:dyDescent="0.5">
      <c r="B26" s="226" t="s">
        <v>10</v>
      </c>
      <c r="C26" s="226"/>
      <c r="D26" s="16"/>
      <c r="E26" s="16"/>
      <c r="F26" s="16"/>
      <c r="G26" s="16"/>
      <c r="H26" s="16"/>
      <c r="I26" s="10"/>
      <c r="J26" s="10"/>
      <c r="K26" s="10"/>
    </row>
    <row r="27" spans="2:11" ht="18" customHeight="1" x14ac:dyDescent="0.5">
      <c r="B27" s="226"/>
      <c r="C27" s="226"/>
      <c r="G27" s="10"/>
      <c r="H27" s="10"/>
      <c r="I27" s="10"/>
      <c r="J27" s="10"/>
      <c r="K27" s="10"/>
    </row>
    <row r="28" spans="2:11" x14ac:dyDescent="0.5">
      <c r="B28" s="4" t="s">
        <v>170</v>
      </c>
      <c r="C28" s="17"/>
      <c r="G28" s="10"/>
      <c r="H28" s="10"/>
      <c r="I28" s="10"/>
      <c r="J28" s="10"/>
      <c r="K28" s="10"/>
    </row>
    <row r="29" spans="2:11" x14ac:dyDescent="0.5">
      <c r="B29" s="4" t="s">
        <v>11</v>
      </c>
      <c r="C29" s="18"/>
      <c r="G29" s="10"/>
      <c r="H29" s="10"/>
      <c r="I29" s="10"/>
      <c r="J29" s="10"/>
      <c r="K29" s="10"/>
    </row>
    <row r="30" spans="2:11" x14ac:dyDescent="0.5">
      <c r="B30" s="4" t="s">
        <v>12</v>
      </c>
      <c r="C30" s="18"/>
      <c r="G30" s="10"/>
      <c r="H30" s="10"/>
      <c r="I30" s="10"/>
      <c r="J30" s="10"/>
      <c r="K30" s="10"/>
    </row>
    <row r="31" spans="2:11" x14ac:dyDescent="0.5">
      <c r="B31" s="164"/>
      <c r="C31" s="165"/>
      <c r="G31" s="10"/>
      <c r="H31" s="10"/>
      <c r="I31" s="10"/>
      <c r="J31" s="10"/>
      <c r="K31" s="10"/>
    </row>
    <row r="32" spans="2:11" x14ac:dyDescent="0.5">
      <c r="B32" s="179" t="s">
        <v>181</v>
      </c>
      <c r="C32" s="180"/>
      <c r="D32" s="180"/>
      <c r="E32" s="169">
        <f>ROUNDUP(C9+C15+C21+(C30/2),2)</f>
        <v>0</v>
      </c>
      <c r="G32" s="10"/>
      <c r="H32" s="10"/>
      <c r="I32" s="10"/>
      <c r="J32" s="10"/>
      <c r="K32" s="10"/>
    </row>
    <row r="33" spans="2:14" x14ac:dyDescent="0.5">
      <c r="B33" s="13"/>
      <c r="C33" s="166"/>
      <c r="G33" s="10"/>
      <c r="H33" s="10"/>
      <c r="I33" s="10"/>
      <c r="J33" s="10"/>
      <c r="K33" s="10"/>
    </row>
    <row r="34" spans="2:14" x14ac:dyDescent="0.5">
      <c r="B34" s="167"/>
      <c r="C34" s="168"/>
      <c r="G34" s="10"/>
      <c r="H34" s="10"/>
      <c r="I34" s="10"/>
      <c r="J34" s="10"/>
      <c r="K34" s="10"/>
    </row>
    <row r="35" spans="2:14" x14ac:dyDescent="0.5">
      <c r="B35" s="232" t="s">
        <v>202</v>
      </c>
      <c r="C35" s="233"/>
      <c r="D35" s="233"/>
      <c r="E35" s="233"/>
      <c r="F35" s="233"/>
      <c r="G35" s="233"/>
      <c r="H35" s="233"/>
      <c r="I35" s="233"/>
      <c r="J35" s="19"/>
      <c r="K35" s="19"/>
      <c r="L35" s="19"/>
      <c r="M35" s="19"/>
      <c r="N35" s="19"/>
    </row>
    <row r="36" spans="2:14" ht="14.7" thickBot="1" x14ac:dyDescent="0.55000000000000004">
      <c r="B36" s="212"/>
      <c r="C36" s="212"/>
      <c r="D36" s="212"/>
      <c r="E36" s="212"/>
      <c r="F36" s="212"/>
      <c r="G36" s="212"/>
      <c r="H36" s="212"/>
      <c r="I36" s="19"/>
      <c r="J36" s="19"/>
      <c r="K36" s="19"/>
      <c r="L36" s="19"/>
      <c r="M36" s="19"/>
      <c r="N36" s="19"/>
    </row>
    <row r="37" spans="2:14" ht="15" thickTop="1" thickBot="1" x14ac:dyDescent="0.55000000000000004">
      <c r="B37" s="227" t="s">
        <v>13</v>
      </c>
      <c r="C37" s="228"/>
      <c r="D37" s="228"/>
      <c r="E37" s="228"/>
      <c r="F37" s="228"/>
      <c r="G37" s="228"/>
      <c r="H37" s="229"/>
      <c r="I37" s="16"/>
      <c r="J37" s="16"/>
      <c r="K37" s="16"/>
      <c r="L37" s="16"/>
      <c r="M37" s="16"/>
      <c r="N37" s="16"/>
    </row>
    <row r="38" spans="2:14" ht="14.7" thickTop="1" x14ac:dyDescent="0.5">
      <c r="B38" s="20"/>
      <c r="C38" s="21" t="s">
        <v>14</v>
      </c>
      <c r="D38" s="21" t="s">
        <v>15</v>
      </c>
      <c r="E38" s="21" t="s">
        <v>16</v>
      </c>
      <c r="F38" s="21" t="s">
        <v>17</v>
      </c>
      <c r="G38" s="21" t="s">
        <v>18</v>
      </c>
      <c r="H38" s="21" t="s">
        <v>19</v>
      </c>
      <c r="I38" s="3"/>
      <c r="J38" s="3"/>
      <c r="K38" s="3"/>
      <c r="L38" s="3"/>
      <c r="M38" s="3"/>
      <c r="N38" s="3"/>
    </row>
    <row r="39" spans="2:14" x14ac:dyDescent="0.5">
      <c r="B39" s="4" t="s">
        <v>5</v>
      </c>
      <c r="C39" s="5"/>
      <c r="D39" s="5"/>
      <c r="E39" s="5"/>
      <c r="F39" s="5"/>
      <c r="G39" s="5"/>
      <c r="H39" s="5"/>
      <c r="I39" s="14"/>
      <c r="J39" s="14"/>
    </row>
    <row r="40" spans="2:14" x14ac:dyDescent="0.5">
      <c r="B40" s="4" t="s">
        <v>20</v>
      </c>
      <c r="C40" s="5"/>
      <c r="D40" s="5"/>
      <c r="E40" s="5"/>
      <c r="F40" s="5"/>
      <c r="G40" s="5"/>
      <c r="H40" s="5"/>
      <c r="I40" s="14"/>
      <c r="J40" s="14"/>
    </row>
    <row r="41" spans="2:14" x14ac:dyDescent="0.5">
      <c r="B41" s="22" t="s">
        <v>21</v>
      </c>
      <c r="C41" s="5"/>
      <c r="D41" s="5"/>
      <c r="E41" s="5"/>
      <c r="F41" s="5"/>
      <c r="G41" s="5"/>
      <c r="H41" s="5"/>
      <c r="I41" s="14"/>
      <c r="J41" s="14"/>
    </row>
    <row r="42" spans="2:14" x14ac:dyDescent="0.5">
      <c r="B42" s="23" t="s">
        <v>22</v>
      </c>
      <c r="C42" s="24"/>
      <c r="D42" s="24"/>
      <c r="E42" s="24"/>
      <c r="F42" s="24"/>
      <c r="G42" s="24"/>
      <c r="H42" s="5"/>
      <c r="I42" s="14"/>
      <c r="J42" s="14"/>
    </row>
    <row r="43" spans="2:14" ht="14.7" thickBot="1" x14ac:dyDescent="0.55000000000000004">
      <c r="B43" s="23" t="s">
        <v>23</v>
      </c>
      <c r="C43" s="213"/>
      <c r="D43" s="213"/>
      <c r="E43" s="213"/>
      <c r="F43" s="213"/>
      <c r="G43" s="213"/>
      <c r="H43" s="213"/>
      <c r="I43" s="14"/>
      <c r="J43" s="14"/>
    </row>
    <row r="44" spans="2:14" ht="16.5" customHeight="1" thickTop="1" thickBot="1" x14ac:dyDescent="0.55000000000000004">
      <c r="B44" s="227" t="s">
        <v>24</v>
      </c>
      <c r="C44" s="228"/>
      <c r="D44" s="228"/>
      <c r="E44" s="228"/>
      <c r="F44" s="228"/>
      <c r="G44" s="228"/>
      <c r="H44" s="229"/>
      <c r="I44" s="16"/>
    </row>
    <row r="45" spans="2:14" ht="14.7" thickTop="1" x14ac:dyDescent="0.5">
      <c r="B45" s="25"/>
      <c r="C45" s="21" t="s">
        <v>25</v>
      </c>
      <c r="D45" s="21" t="s">
        <v>26</v>
      </c>
      <c r="E45" s="21" t="s">
        <v>27</v>
      </c>
      <c r="F45" s="21" t="s">
        <v>28</v>
      </c>
      <c r="G45" s="21" t="s">
        <v>29</v>
      </c>
      <c r="H45" s="21" t="s">
        <v>30</v>
      </c>
      <c r="I45" s="3"/>
    </row>
    <row r="46" spans="2:14" x14ac:dyDescent="0.5">
      <c r="B46" s="8" t="s">
        <v>5</v>
      </c>
      <c r="C46" s="5"/>
      <c r="D46" s="5"/>
      <c r="E46" s="5"/>
      <c r="F46" s="5"/>
      <c r="G46" s="5"/>
      <c r="H46" s="5"/>
      <c r="I46" s="14"/>
    </row>
    <row r="47" spans="2:14" x14ac:dyDescent="0.5">
      <c r="B47" s="8" t="s">
        <v>20</v>
      </c>
      <c r="C47" s="5"/>
      <c r="D47" s="5"/>
      <c r="E47" s="5"/>
      <c r="F47" s="5"/>
      <c r="G47" s="5"/>
      <c r="H47" s="5"/>
      <c r="I47" s="14"/>
    </row>
    <row r="48" spans="2:14" x14ac:dyDescent="0.5">
      <c r="B48" s="8" t="s">
        <v>31</v>
      </c>
      <c r="C48" s="26"/>
      <c r="D48" s="26"/>
      <c r="E48" s="26"/>
      <c r="F48" s="26"/>
      <c r="G48" s="26"/>
      <c r="H48" s="26"/>
    </row>
    <row r="49" spans="2:9" x14ac:dyDescent="0.5">
      <c r="B49" s="27"/>
    </row>
    <row r="50" spans="2:9" x14ac:dyDescent="0.5">
      <c r="B50" s="230" t="s">
        <v>32</v>
      </c>
      <c r="C50" s="230"/>
      <c r="D50" s="230"/>
      <c r="E50" s="230"/>
      <c r="F50" s="230"/>
      <c r="G50" s="230"/>
      <c r="H50" s="230"/>
      <c r="I50" s="230"/>
    </row>
    <row r="52" spans="2:9" x14ac:dyDescent="0.5">
      <c r="B52" s="231" t="s">
        <v>33</v>
      </c>
      <c r="C52" s="231"/>
    </row>
    <row r="53" spans="2:9" x14ac:dyDescent="0.5">
      <c r="B53" s="4" t="s">
        <v>34</v>
      </c>
      <c r="C53" s="5"/>
    </row>
    <row r="54" spans="2:9" x14ac:dyDescent="0.5">
      <c r="B54" s="4" t="s">
        <v>35</v>
      </c>
      <c r="C54" s="9"/>
    </row>
    <row r="55" spans="2:9" x14ac:dyDescent="0.5">
      <c r="B55" s="22" t="s">
        <v>36</v>
      </c>
      <c r="C55" s="9"/>
    </row>
    <row r="56" spans="2:9" ht="28.7" x14ac:dyDescent="0.5">
      <c r="B56" s="28" t="s">
        <v>37</v>
      </c>
      <c r="C56" s="29">
        <f>C53*C55</f>
        <v>0</v>
      </c>
    </row>
    <row r="62" spans="2:9" x14ac:dyDescent="0.5">
      <c r="B62" s="225" t="s">
        <v>38</v>
      </c>
      <c r="C62" s="225"/>
      <c r="D62" s="225"/>
      <c r="E62" s="225"/>
      <c r="F62" s="225"/>
      <c r="G62" s="225"/>
      <c r="H62" s="225"/>
      <c r="I62" s="225"/>
    </row>
    <row r="64" spans="2:9" x14ac:dyDescent="0.5">
      <c r="B64" s="8" t="s">
        <v>35</v>
      </c>
      <c r="C64" s="26">
        <v>1.25</v>
      </c>
    </row>
    <row r="65" spans="2:5" x14ac:dyDescent="0.5">
      <c r="B65" s="8" t="s">
        <v>34</v>
      </c>
      <c r="C65" s="26">
        <v>2.5</v>
      </c>
    </row>
    <row r="76" spans="2:5" x14ac:dyDescent="0.5">
      <c r="D76" s="19"/>
      <c r="E76" s="19"/>
    </row>
    <row r="77" spans="2:5" x14ac:dyDescent="0.5">
      <c r="D77" s="12"/>
      <c r="E77" s="12"/>
    </row>
    <row r="78" spans="2:5" x14ac:dyDescent="0.5">
      <c r="D78" s="30"/>
      <c r="E78" s="31"/>
    </row>
    <row r="79" spans="2:5" x14ac:dyDescent="0.5">
      <c r="D79" s="13"/>
      <c r="E79" s="32"/>
    </row>
    <row r="80" spans="2:5" x14ac:dyDescent="0.5">
      <c r="D80" s="13"/>
      <c r="E80" s="32"/>
    </row>
  </sheetData>
  <sheetProtection selectLockedCells="1" selectUnlockedCells="1"/>
  <mergeCells count="25">
    <mergeCell ref="B62:I62"/>
    <mergeCell ref="B26:C27"/>
    <mergeCell ref="B37:H37"/>
    <mergeCell ref="B44:H44"/>
    <mergeCell ref="B50:I50"/>
    <mergeCell ref="B52:C52"/>
    <mergeCell ref="B35:I35"/>
    <mergeCell ref="B24:I24"/>
    <mergeCell ref="E10:G10"/>
    <mergeCell ref="B14:C14"/>
    <mergeCell ref="E14:H14"/>
    <mergeCell ref="E15:G15"/>
    <mergeCell ref="E16:G16"/>
    <mergeCell ref="B12:I12"/>
    <mergeCell ref="B20:C20"/>
    <mergeCell ref="E20:H20"/>
    <mergeCell ref="E21:G21"/>
    <mergeCell ref="E22:G22"/>
    <mergeCell ref="B18:I18"/>
    <mergeCell ref="B8:C8"/>
    <mergeCell ref="E8:H8"/>
    <mergeCell ref="E9:G9"/>
    <mergeCell ref="B2:I2"/>
    <mergeCell ref="B4:I4"/>
    <mergeCell ref="B6:I6"/>
  </mergeCells>
  <printOptions horizontalCentered="1" verticalCentered="1"/>
  <pageMargins left="0.19652777777777777" right="0.19652777777777777" top="0.56041666666666667" bottom="0.59583333333333333" header="0.31527777777777777" footer="0.51180555555555551"/>
  <pageSetup paperSize="9" firstPageNumber="0" orientation="portrait" horizontalDpi="300" verticalDpi="300" r:id="rId1"/>
  <headerFooter alignWithMargins="0">
    <oddHeader>&amp;L&amp;"-,Italique"Barème GREB: 00B0F0&amp;A&amp;C&amp;"-,Italique"000000&amp;D  &amp;T&amp;R&amp;"-,Italique"000000Benoît Fesneau
ben.fesneau@free.fr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3"/>
    <pageSetUpPr fitToPage="1"/>
  </sheetPr>
  <dimension ref="B2:K19"/>
  <sheetViews>
    <sheetView showGridLines="0" topLeftCell="A16" workbookViewId="0">
      <selection activeCell="D19" sqref="D19"/>
    </sheetView>
  </sheetViews>
  <sheetFormatPr baseColWidth="10" defaultRowHeight="14.35" x14ac:dyDescent="0.5"/>
  <cols>
    <col min="1" max="1" width="4.703125" customWidth="1"/>
    <col min="2" max="2" width="16.41015625" customWidth="1"/>
    <col min="4" max="4" width="9.5859375" customWidth="1"/>
    <col min="5" max="5" width="10.703125" customWidth="1"/>
    <col min="6" max="6" width="10.29296875" customWidth="1"/>
    <col min="7" max="7" width="5.5859375" customWidth="1"/>
    <col min="8" max="8" width="33.87890625" customWidth="1"/>
    <col min="9" max="9" width="11.5859375" customWidth="1"/>
    <col min="10" max="10" width="12.1171875" customWidth="1"/>
    <col min="11" max="11" width="17.1171875" customWidth="1"/>
    <col min="12" max="12" width="4.703125" customWidth="1"/>
  </cols>
  <sheetData>
    <row r="2" spans="2:11" x14ac:dyDescent="0.5">
      <c r="B2" s="235" t="s">
        <v>198</v>
      </c>
      <c r="C2" s="235"/>
      <c r="D2" s="235"/>
      <c r="E2" s="235"/>
      <c r="F2" s="235"/>
      <c r="G2" s="235"/>
      <c r="H2" s="235"/>
      <c r="I2" s="235"/>
      <c r="J2" s="235"/>
      <c r="K2" s="235"/>
    </row>
    <row r="3" spans="2:11" x14ac:dyDescent="0.5"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2:11" ht="23.35" x14ac:dyDescent="0.5">
      <c r="B4" s="33"/>
      <c r="C4" s="33"/>
      <c r="D4" s="33"/>
      <c r="E4" s="33"/>
      <c r="F4" s="33"/>
      <c r="G4" s="33"/>
      <c r="H4" s="33"/>
      <c r="I4" s="34"/>
      <c r="J4" s="34"/>
      <c r="K4" s="34"/>
    </row>
    <row r="5" spans="2:11" ht="12.75" customHeight="1" x14ac:dyDescent="0.5">
      <c r="B5" s="238" t="s">
        <v>39</v>
      </c>
      <c r="C5" s="240"/>
      <c r="D5" s="35"/>
      <c r="E5" s="35"/>
      <c r="F5" s="35"/>
      <c r="G5" s="35"/>
      <c r="H5" s="236" t="s">
        <v>199</v>
      </c>
      <c r="I5" s="236"/>
      <c r="J5" s="236"/>
      <c r="K5" s="236"/>
    </row>
    <row r="6" spans="2:11" x14ac:dyDescent="0.5">
      <c r="B6" s="8" t="s">
        <v>41</v>
      </c>
      <c r="C6" s="9">
        <v>4</v>
      </c>
      <c r="D6" s="10"/>
      <c r="E6" s="10"/>
      <c r="F6" s="10"/>
      <c r="G6" s="35"/>
      <c r="H6" s="36"/>
      <c r="I6" s="36"/>
      <c r="J6" s="36"/>
      <c r="K6" s="36"/>
    </row>
    <row r="7" spans="2:11" ht="16.5" customHeight="1" x14ac:dyDescent="0.5">
      <c r="B7" s="8" t="s">
        <v>43</v>
      </c>
      <c r="C7" s="9">
        <v>3</v>
      </c>
      <c r="D7" s="10"/>
      <c r="E7" s="10"/>
      <c r="F7" s="10"/>
      <c r="G7" s="35"/>
      <c r="H7" s="22" t="s">
        <v>40</v>
      </c>
      <c r="I7" s="37">
        <f>Menuiseries!E15</f>
        <v>0</v>
      </c>
    </row>
    <row r="8" spans="2:11" ht="16.5" customHeight="1" x14ac:dyDescent="0.5">
      <c r="B8" s="8" t="s">
        <v>45</v>
      </c>
      <c r="C8" s="9">
        <v>1</v>
      </c>
      <c r="D8" s="10"/>
      <c r="E8" s="10"/>
      <c r="F8" s="10"/>
      <c r="G8" s="10"/>
      <c r="H8" s="22" t="s">
        <v>42</v>
      </c>
      <c r="I8" s="37">
        <f>0.05*2</f>
        <v>0.1</v>
      </c>
    </row>
    <row r="9" spans="2:11" ht="16.5" customHeight="1" x14ac:dyDescent="0.5">
      <c r="B9" s="8" t="s">
        <v>47</v>
      </c>
      <c r="C9" s="9">
        <v>1</v>
      </c>
      <c r="D9" s="10"/>
      <c r="E9" s="38"/>
      <c r="F9" s="10"/>
      <c r="G9" s="10"/>
      <c r="H9" s="22" t="s">
        <v>44</v>
      </c>
      <c r="I9" s="37">
        <f>ROUNDUP(I7*I8,2)</f>
        <v>0</v>
      </c>
    </row>
    <row r="10" spans="2:11" ht="16.5" customHeight="1" x14ac:dyDescent="0.5">
      <c r="B10" s="10"/>
      <c r="C10" s="10"/>
      <c r="D10" s="10"/>
      <c r="E10" s="10"/>
      <c r="F10" s="10"/>
      <c r="G10" s="10"/>
      <c r="H10" s="22" t="s">
        <v>46</v>
      </c>
      <c r="I10" s="37">
        <f>ROUNDUP(I9+Menuiseries!I8+Menuiseries!I23-Menuiseries!I9-Menuiseries!I24,2)</f>
        <v>0</v>
      </c>
    </row>
    <row r="11" spans="2:11" ht="16.5" customHeight="1" x14ac:dyDescent="0.5">
      <c r="B11" s="238" t="s">
        <v>51</v>
      </c>
      <c r="C11" s="239"/>
      <c r="D11" s="239"/>
      <c r="E11" s="239"/>
      <c r="F11" s="240"/>
      <c r="G11" s="10"/>
      <c r="H11" s="22" t="s">
        <v>48</v>
      </c>
      <c r="I11" s="37">
        <f>ROUNDUP(('Informations Projet'!C9*('Informations Projet'!C54+0.08-0.2))*0.04,2)</f>
        <v>0</v>
      </c>
    </row>
    <row r="12" spans="2:11" ht="39" x14ac:dyDescent="0.5">
      <c r="B12" s="40" t="s">
        <v>52</v>
      </c>
      <c r="C12" s="40" t="s">
        <v>53</v>
      </c>
      <c r="D12" s="40" t="s">
        <v>54</v>
      </c>
      <c r="E12" s="41" t="s">
        <v>55</v>
      </c>
      <c r="F12" s="41" t="s">
        <v>56</v>
      </c>
      <c r="G12" s="10"/>
      <c r="H12" s="22" t="s">
        <v>49</v>
      </c>
      <c r="I12" s="145">
        <f>ROUNDUP(I10+I11,2)</f>
        <v>0</v>
      </c>
      <c r="J12" s="39" t="s">
        <v>50</v>
      </c>
    </row>
    <row r="13" spans="2:11" x14ac:dyDescent="0.5">
      <c r="B13" s="4" t="s">
        <v>41</v>
      </c>
      <c r="C13" s="44">
        <f>(1/7)*C6</f>
        <v>0.5714285714285714</v>
      </c>
      <c r="D13" s="9">
        <v>300</v>
      </c>
      <c r="E13" s="44">
        <f>ROUNDUP(D13*C13,2)</f>
        <v>171.42999999999998</v>
      </c>
      <c r="F13" s="45" t="s">
        <v>60</v>
      </c>
    </row>
    <row r="14" spans="2:11" ht="14.7" x14ac:dyDescent="0.5">
      <c r="B14" s="4" t="s">
        <v>61</v>
      </c>
      <c r="C14" s="44">
        <f>(1/7)*C7</f>
        <v>0.42857142857142855</v>
      </c>
      <c r="D14" s="9">
        <v>1500</v>
      </c>
      <c r="E14" s="44">
        <f>ROUNDUP(D14*C14,2)</f>
        <v>642.86</v>
      </c>
      <c r="F14" s="45" t="s">
        <v>60</v>
      </c>
      <c r="G14" s="42"/>
      <c r="H14" s="43" t="s">
        <v>52</v>
      </c>
      <c r="I14" s="43" t="s">
        <v>57</v>
      </c>
      <c r="J14" s="43" t="s">
        <v>58</v>
      </c>
      <c r="K14" s="41" t="s">
        <v>59</v>
      </c>
    </row>
    <row r="15" spans="2:11" x14ac:dyDescent="0.5">
      <c r="B15" s="4" t="s">
        <v>62</v>
      </c>
      <c r="C15" s="44">
        <f>(1/7)*C8</f>
        <v>0.14285714285714285</v>
      </c>
      <c r="D15" s="9">
        <v>400</v>
      </c>
      <c r="E15" s="44">
        <f>ROUNDUP(D15*C15,2)</f>
        <v>57.15</v>
      </c>
      <c r="F15" s="46">
        <f>IF(D18=0,0,E15/D18)</f>
        <v>2.286</v>
      </c>
      <c r="G15" s="10"/>
      <c r="H15" s="22" t="s">
        <v>41</v>
      </c>
      <c r="I15" s="146">
        <f>ROUNDUP(I12*C13,2)</f>
        <v>0</v>
      </c>
      <c r="J15" s="37">
        <f>ROUNDUP(D13*I15,2)</f>
        <v>0</v>
      </c>
      <c r="K15" s="26" t="s">
        <v>60</v>
      </c>
    </row>
    <row r="16" spans="2:11" x14ac:dyDescent="0.5">
      <c r="B16" s="4" t="s">
        <v>63</v>
      </c>
      <c r="C16" s="44">
        <f>(1/7)*C9</f>
        <v>0.14285714285714285</v>
      </c>
      <c r="D16" s="9">
        <v>1000</v>
      </c>
      <c r="E16" s="44">
        <f>ROUNDUP(D16*C16,2)</f>
        <v>142.85999999999999</v>
      </c>
      <c r="F16" s="46">
        <f>IF(D19=0,0,E16/D19)</f>
        <v>4.081714285714285</v>
      </c>
      <c r="G16" s="10"/>
      <c r="H16" s="8" t="s">
        <v>61</v>
      </c>
      <c r="I16" s="146">
        <f>ROUNDUP(C14*I12,2)</f>
        <v>0</v>
      </c>
      <c r="J16" s="37">
        <f>ROUNDUP(D14*I16,2)</f>
        <v>0</v>
      </c>
      <c r="K16" s="26" t="s">
        <v>60</v>
      </c>
    </row>
    <row r="17" spans="2:11" x14ac:dyDescent="0.5">
      <c r="B17" s="13"/>
      <c r="G17" s="47"/>
      <c r="H17" s="8" t="s">
        <v>62</v>
      </c>
      <c r="I17" s="37">
        <f>ROUNDUP(C15*I12,2)</f>
        <v>0</v>
      </c>
      <c r="J17" s="37">
        <f>ROUNDUP(I17*D15,2)</f>
        <v>0</v>
      </c>
      <c r="K17" s="146">
        <f>ROUNDUP(IF(D18=0,0,J17/D18),0)</f>
        <v>0</v>
      </c>
    </row>
    <row r="18" spans="2:11" x14ac:dyDescent="0.5">
      <c r="B18" s="234" t="s">
        <v>64</v>
      </c>
      <c r="C18" s="234"/>
      <c r="D18" s="9">
        <v>25</v>
      </c>
      <c r="G18" s="47"/>
      <c r="H18" s="48" t="s">
        <v>63</v>
      </c>
      <c r="I18" s="61">
        <f>ROUNDUP(C16*I12,2)</f>
        <v>0</v>
      </c>
      <c r="J18" s="61">
        <f>ROUNDUP(I18*D16,2)</f>
        <v>0</v>
      </c>
      <c r="K18" s="147">
        <f>ROUNDUP(IF(D19=0,0,J18/D19),0)</f>
        <v>0</v>
      </c>
    </row>
    <row r="19" spans="2:11" x14ac:dyDescent="0.5">
      <c r="B19" s="234" t="s">
        <v>65</v>
      </c>
      <c r="C19" s="234"/>
      <c r="D19" s="9">
        <v>35</v>
      </c>
      <c r="H19" s="237"/>
      <c r="I19" s="237"/>
      <c r="J19" s="237"/>
      <c r="K19" s="237"/>
    </row>
  </sheetData>
  <sheetProtection selectLockedCells="1" selectUnlockedCells="1"/>
  <mergeCells count="7">
    <mergeCell ref="B18:C18"/>
    <mergeCell ref="B19:C19"/>
    <mergeCell ref="B2:K3"/>
    <mergeCell ref="H5:K5"/>
    <mergeCell ref="H19:K19"/>
    <mergeCell ref="B11:F11"/>
    <mergeCell ref="B5:C5"/>
  </mergeCells>
  <printOptions horizontalCentered="1" verticalCentered="1"/>
  <pageMargins left="7.8472222222222221E-2" right="7.8472222222222221E-2" top="0.90555555555555556" bottom="0.71319444444444446" header="0.31527777777777777" footer="0.51180555555555551"/>
  <pageSetup paperSize="9" firstPageNumber="0" orientation="landscape" horizontalDpi="300" verticalDpi="300"/>
  <headerFooter alignWithMargins="0">
    <oddHeader>&amp;L&amp;"-,Italique"Barème GREB: 00B0F0&amp;A&amp;C&amp;"-,Italique"000000&amp;D  &amp;T&amp;R&amp;"-,Italique"000000Benoît Fesneau
ben.fesneau@free.fr</oddHead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60"/>
    <pageSetUpPr fitToPage="1"/>
  </sheetPr>
  <dimension ref="B2:G37"/>
  <sheetViews>
    <sheetView showGridLines="0" topLeftCell="A7" workbookViewId="0">
      <selection activeCell="D19" sqref="D19"/>
    </sheetView>
  </sheetViews>
  <sheetFormatPr baseColWidth="10" defaultRowHeight="14.35" x14ac:dyDescent="0.5"/>
  <cols>
    <col min="1" max="1" width="4.703125" customWidth="1"/>
    <col min="2" max="2" width="20" customWidth="1"/>
    <col min="3" max="3" width="7.5859375" customWidth="1"/>
    <col min="4" max="5" width="8.29296875" customWidth="1"/>
    <col min="7" max="7" width="11.1171875" customWidth="1"/>
    <col min="8" max="8" width="4.703125" customWidth="1"/>
    <col min="9" max="9" width="18.29296875" customWidth="1"/>
  </cols>
  <sheetData>
    <row r="2" spans="2:7" ht="36.75" customHeight="1" x14ac:dyDescent="0.5">
      <c r="B2" s="235" t="s">
        <v>197</v>
      </c>
      <c r="C2" s="235"/>
      <c r="D2" s="235"/>
      <c r="E2" s="235"/>
      <c r="F2" s="235"/>
      <c r="G2" s="235"/>
    </row>
    <row r="3" spans="2:7" ht="23.35" x14ac:dyDescent="0.8">
      <c r="B3" s="49"/>
      <c r="C3" s="50"/>
      <c r="D3" s="50"/>
      <c r="E3" s="50"/>
      <c r="F3" s="50"/>
      <c r="G3" s="50"/>
    </row>
    <row r="4" spans="2:7" x14ac:dyDescent="0.5">
      <c r="B4" s="8" t="s">
        <v>66</v>
      </c>
      <c r="C4" s="51">
        <f>ROUNDUP(Menuiseries!E15,2)</f>
        <v>0</v>
      </c>
      <c r="D4" s="52"/>
      <c r="E4" s="52"/>
      <c r="F4" s="52"/>
    </row>
    <row r="5" spans="2:7" x14ac:dyDescent="0.5">
      <c r="B5" s="53"/>
      <c r="C5" s="54"/>
    </row>
    <row r="6" spans="2:7" ht="27.7" x14ac:dyDescent="0.5">
      <c r="B6" s="55" t="s">
        <v>67</v>
      </c>
      <c r="C6" s="55" t="s">
        <v>68</v>
      </c>
      <c r="D6" s="55" t="s">
        <v>69</v>
      </c>
      <c r="E6" s="55" t="s">
        <v>70</v>
      </c>
      <c r="F6" s="55" t="s">
        <v>71</v>
      </c>
      <c r="G6" s="55" t="s">
        <v>72</v>
      </c>
    </row>
    <row r="7" spans="2:7" ht="12.75" customHeight="1" x14ac:dyDescent="0.5">
      <c r="B7" s="242" t="s">
        <v>0</v>
      </c>
      <c r="C7" s="242"/>
      <c r="D7" s="242"/>
      <c r="E7" s="242"/>
      <c r="F7" s="242"/>
      <c r="G7" s="242"/>
    </row>
    <row r="8" spans="2:7" x14ac:dyDescent="0.5">
      <c r="B8" s="56" t="s">
        <v>73</v>
      </c>
      <c r="C8" s="57" t="s">
        <v>74</v>
      </c>
      <c r="D8" s="149">
        <f>ROUNDUP(4*'Informations Projet'!C9,2)</f>
        <v>0</v>
      </c>
      <c r="E8" s="149">
        <f>ROUNDUP((D8*0.07)+D8,2)</f>
        <v>0</v>
      </c>
      <c r="F8" s="149">
        <f>ROUNDUP((0.1*0.04*E8),2)</f>
        <v>0</v>
      </c>
      <c r="G8" s="58">
        <f>ROUNDUP(F8*Récapitulatif!C11,2)</f>
        <v>0</v>
      </c>
    </row>
    <row r="9" spans="2:7" x14ac:dyDescent="0.5">
      <c r="B9" s="22" t="s">
        <v>75</v>
      </c>
      <c r="C9" s="26" t="s">
        <v>74</v>
      </c>
      <c r="D9" s="37">
        <f>ROUNDUP((('Informations Projet'!C9*2*'Informations Projet'!C10)/0.6)+(4*'Informations Projet'!H9*'Informations Projet'!C10)+(8*'Informations Projet'!H10*'Informations Projet'!C10),2)</f>
        <v>0</v>
      </c>
      <c r="E9" s="37">
        <f>ROUNDUP((D9*0.07)+D9,2)</f>
        <v>0</v>
      </c>
      <c r="F9" s="37">
        <f>ROUNDUP((0.1*0.04*E9),2)</f>
        <v>0</v>
      </c>
      <c r="G9" s="59">
        <f>ROUNDUP(F9*Récapitulatif!C11,2)</f>
        <v>0</v>
      </c>
    </row>
    <row r="10" spans="2:7" x14ac:dyDescent="0.5">
      <c r="B10" s="23" t="s">
        <v>76</v>
      </c>
      <c r="C10" s="60" t="s">
        <v>74</v>
      </c>
      <c r="D10" s="61">
        <f>ROUNDUP('Informations Projet'!C9*('Informations Projet'!C54),2)</f>
        <v>0</v>
      </c>
      <c r="E10" s="61" t="s">
        <v>60</v>
      </c>
      <c r="F10" s="61">
        <f>ROUNDUP(0.1*0.04*D10,2)</f>
        <v>0</v>
      </c>
      <c r="G10" s="62">
        <f>ROUNDUP(F10*Récapitulatif!C11,2)</f>
        <v>0</v>
      </c>
    </row>
    <row r="11" spans="2:7" x14ac:dyDescent="0.5">
      <c r="B11" s="243" t="s">
        <v>77</v>
      </c>
      <c r="C11" s="243"/>
      <c r="D11" s="243"/>
      <c r="E11" s="243"/>
      <c r="F11" s="148">
        <f>ROUNDUP(SUM(F8:F10),2)</f>
        <v>0</v>
      </c>
      <c r="G11" s="63">
        <f>ROUNDUP(SUM(G8:G10),2)</f>
        <v>0</v>
      </c>
    </row>
    <row r="12" spans="2:7" ht="18" x14ac:dyDescent="0.5">
      <c r="B12" s="244" t="s">
        <v>78</v>
      </c>
      <c r="C12" s="244"/>
      <c r="D12" s="244"/>
      <c r="E12" s="244"/>
      <c r="F12" s="244"/>
      <c r="G12" s="244"/>
    </row>
    <row r="13" spans="2:7" x14ac:dyDescent="0.5">
      <c r="B13" s="4" t="s">
        <v>73</v>
      </c>
      <c r="C13" s="45" t="s">
        <v>74</v>
      </c>
      <c r="D13" s="44">
        <f>ROUNDUP(4*'Informations Projet'!C15,2)</f>
        <v>0</v>
      </c>
      <c r="E13" s="44">
        <f>ROUNDUP((D13*0.07)+D13,2)</f>
        <v>0</v>
      </c>
      <c r="F13" s="44">
        <f>ROUNDUP(0.1*0.04*E13,2)</f>
        <v>0</v>
      </c>
      <c r="G13" s="64">
        <f>ROUNDUP(F13*Récapitulatif!$C$11,2)</f>
        <v>0</v>
      </c>
    </row>
    <row r="14" spans="2:7" x14ac:dyDescent="0.5">
      <c r="B14" s="4" t="s">
        <v>75</v>
      </c>
      <c r="C14" s="45" t="s">
        <v>74</v>
      </c>
      <c r="D14" s="44">
        <f>ROUNDUP((('Informations Projet'!C15*2*'Informations Projet'!C16)/0.6)+('Informations Projet'!C16*4*'Informations Projet'!H15)+('Informations Projet'!C16*'Informations Projet'!H16*8),2)</f>
        <v>0</v>
      </c>
      <c r="E14" s="44">
        <f>ROUNDUP((D14*0.07)+D14,2)</f>
        <v>0</v>
      </c>
      <c r="F14" s="44">
        <f>ROUNDUP(0.1*0.04*E14,2)</f>
        <v>0</v>
      </c>
      <c r="G14" s="64">
        <f>ROUNDUP(F14*Récapitulatif!$C$11,2)</f>
        <v>0</v>
      </c>
    </row>
    <row r="15" spans="2:7" x14ac:dyDescent="0.5">
      <c r="B15" s="65" t="s">
        <v>79</v>
      </c>
      <c r="C15" s="60" t="s">
        <v>74</v>
      </c>
      <c r="D15" s="61">
        <f>ROUNDUP('Informations Projet'!C15*('Informations Projet'!C54+0.08),2)</f>
        <v>0</v>
      </c>
      <c r="E15" s="60" t="s">
        <v>60</v>
      </c>
      <c r="F15" s="61">
        <f>ROUNDUP(0.1*0.04*D15,2)</f>
        <v>0</v>
      </c>
      <c r="G15" s="64">
        <f>ROUNDUP(F15*Récapitulatif!$C$11,2)</f>
        <v>0</v>
      </c>
    </row>
    <row r="16" spans="2:7" x14ac:dyDescent="0.5">
      <c r="B16" s="245" t="s">
        <v>77</v>
      </c>
      <c r="C16" s="245"/>
      <c r="D16" s="245"/>
      <c r="E16" s="245"/>
      <c r="F16" s="148">
        <f>ROUNDUP(SUM(F13:F15),2)</f>
        <v>0</v>
      </c>
      <c r="G16" s="63">
        <f>ROUNDUP(SUM(G13:G15),2)</f>
        <v>0</v>
      </c>
    </row>
    <row r="17" spans="2:7" ht="18" x14ac:dyDescent="0.5">
      <c r="B17" s="241" t="s">
        <v>80</v>
      </c>
      <c r="C17" s="241"/>
      <c r="D17" s="241"/>
      <c r="E17" s="241"/>
      <c r="F17" s="241"/>
      <c r="G17" s="241"/>
    </row>
    <row r="18" spans="2:7" x14ac:dyDescent="0.5">
      <c r="B18" s="4" t="s">
        <v>73</v>
      </c>
      <c r="C18" s="26" t="s">
        <v>74</v>
      </c>
      <c r="D18" s="37">
        <f>ROUNDUP(4*'Informations Projet'!C21,2)</f>
        <v>0</v>
      </c>
      <c r="E18" s="37">
        <f>ROUNDUP((D18*0.07)+D18,2)</f>
        <v>0</v>
      </c>
      <c r="F18" s="44">
        <f>ROUNDUP(0.1*0.04*E18,2)</f>
        <v>0</v>
      </c>
      <c r="G18" s="66">
        <f>ROUNDUP(F18*Récapitulatif!C11,2)</f>
        <v>0</v>
      </c>
    </row>
    <row r="19" spans="2:7" x14ac:dyDescent="0.5">
      <c r="B19" s="4" t="s">
        <v>75</v>
      </c>
      <c r="C19" s="26" t="s">
        <v>74</v>
      </c>
      <c r="D19" s="37">
        <f>ROUNDUP((('Informations Projet'!C22*2*('Informations Projet'!C21/0.6))+('Informations Projet'!C22*4*'Informations Projet'!H21)+('Informations Projet'!C22*8*'Informations Projet'!H22)),2)</f>
        <v>0</v>
      </c>
      <c r="E19" s="37">
        <f>ROUNDUP((0.07*D19)+D19,2)</f>
        <v>0</v>
      </c>
      <c r="F19" s="44">
        <f>ROUNDUP(0.1*0.04*E19,2)</f>
        <v>0</v>
      </c>
      <c r="G19" s="66">
        <f>ROUNDUP(F19*Récapitulatif!C11,2)</f>
        <v>0</v>
      </c>
    </row>
    <row r="20" spans="2:7" x14ac:dyDescent="0.5">
      <c r="B20" s="67" t="s">
        <v>76</v>
      </c>
      <c r="C20" s="60" t="s">
        <v>74</v>
      </c>
      <c r="D20" s="61">
        <f>ROUNDUP('Informations Projet'!C21*('Informations Projet'!C54+0.08),2)</f>
        <v>0</v>
      </c>
      <c r="E20" s="60" t="s">
        <v>60</v>
      </c>
      <c r="F20" s="150">
        <f>ROUNDUP(0.04*0.1*D20,2)</f>
        <v>0</v>
      </c>
      <c r="G20" s="68">
        <f>ROUNDUP(F20*Récapitulatif!C11,2)</f>
        <v>0</v>
      </c>
    </row>
    <row r="21" spans="2:7" x14ac:dyDescent="0.5">
      <c r="B21" s="243" t="s">
        <v>77</v>
      </c>
      <c r="C21" s="243"/>
      <c r="D21" s="243"/>
      <c r="E21" s="243"/>
      <c r="F21" s="148">
        <f>ROUNDUP(SUM(F18:F20),2)</f>
        <v>0</v>
      </c>
      <c r="G21" s="63">
        <f>ROUNDUP(SUM(G18:G20),2)</f>
        <v>0</v>
      </c>
    </row>
    <row r="22" spans="2:7" ht="15.7" x14ac:dyDescent="0.5">
      <c r="B22" s="247" t="s">
        <v>9</v>
      </c>
      <c r="C22" s="247"/>
      <c r="D22" s="247"/>
      <c r="E22" s="247"/>
      <c r="F22" s="247"/>
      <c r="G22" s="247"/>
    </row>
    <row r="23" spans="2:7" x14ac:dyDescent="0.5">
      <c r="B23" s="69" t="s">
        <v>73</v>
      </c>
      <c r="C23" s="70" t="s">
        <v>74</v>
      </c>
      <c r="D23" s="149">
        <f>ROUNDUP((SQRT('Informations Projet'!C29^2+'Informations Projet'!C30^2)*2*'Informations Projet'!C28)+'Informations Projet'!C28*'Informations Projet'!C30,2)</f>
        <v>0</v>
      </c>
      <c r="E23" s="149">
        <f>ROUNDUP((D23*0.07)+D23,2)</f>
        <v>0</v>
      </c>
      <c r="F23" s="149">
        <f>ROUNDUP(0.1*0.04*E23,2)</f>
        <v>0</v>
      </c>
      <c r="G23" s="58">
        <f>ROUNDUP(F23*Récapitulatif!C11,2)</f>
        <v>0</v>
      </c>
    </row>
    <row r="24" spans="2:7" x14ac:dyDescent="0.5">
      <c r="B24" s="67" t="s">
        <v>75</v>
      </c>
      <c r="C24" s="71" t="s">
        <v>74</v>
      </c>
      <c r="D24" s="151">
        <f>ROUNDUP(('Informations Projet'!C30/0.6)*('Informations Projet'!C29/2)*'Informations Projet'!C28,2)</f>
        <v>0</v>
      </c>
      <c r="E24" s="151">
        <f>ROUNDUP((D24*0.07)+D24,2)</f>
        <v>0</v>
      </c>
      <c r="F24" s="151">
        <f>ROUNDUP(0.1*0.04*E24,2)</f>
        <v>0</v>
      </c>
      <c r="G24" s="72">
        <f>ROUNDUP(F24*Récapitulatif!C11,2)</f>
        <v>0</v>
      </c>
    </row>
    <row r="25" spans="2:7" x14ac:dyDescent="0.5">
      <c r="B25" s="245" t="s">
        <v>77</v>
      </c>
      <c r="C25" s="245"/>
      <c r="D25" s="245"/>
      <c r="E25" s="245"/>
      <c r="F25" s="152">
        <f>ROUNDUP(SUM(F23:F24),2)</f>
        <v>0</v>
      </c>
      <c r="G25" s="73">
        <f>ROUNDUP(SUM(G23:G24),2)</f>
        <v>0</v>
      </c>
    </row>
    <row r="26" spans="2:7" ht="16.5" customHeight="1" x14ac:dyDescent="0.5">
      <c r="B26" s="244" t="s">
        <v>81</v>
      </c>
      <c r="C26" s="244"/>
      <c r="D26" s="244"/>
      <c r="E26" s="244"/>
      <c r="F26" s="244"/>
      <c r="G26" s="244"/>
    </row>
    <row r="27" spans="2:7" x14ac:dyDescent="0.5">
      <c r="B27" s="8" t="s">
        <v>82</v>
      </c>
      <c r="C27" s="26" t="s">
        <v>74</v>
      </c>
      <c r="D27" s="37">
        <f>ROUNDUP((4*'Informations Projet'!C40*'Informations Projet'!C43)+(4*'Informations Projet'!D40*'Informations Projet'!D43)+(4*'Informations Projet'!E43*'Informations Projet'!E40)+(4*'Informations Projet'!F40*'Informations Projet'!F43)+(4*'Informations Projet'!G40*'Informations Projet'!G43)+(4*'Informations Projet'!H40*'Informations Projet'!H43),2)</f>
        <v>0</v>
      </c>
      <c r="E27" s="154">
        <f>ROUNDUP((D27*0.07)+D27,2)</f>
        <v>0</v>
      </c>
      <c r="F27" s="37">
        <f>ROUNDUP(0.1*0.04*E27,2)</f>
        <v>0</v>
      </c>
      <c r="G27" s="59">
        <f>ROUNDUP(F27*Récapitulatif!C11,2)</f>
        <v>0</v>
      </c>
    </row>
    <row r="28" spans="2:7" x14ac:dyDescent="0.5">
      <c r="B28" s="8" t="s">
        <v>83</v>
      </c>
      <c r="C28" s="26" t="s">
        <v>74</v>
      </c>
      <c r="D28" s="37">
        <f>ROUNDUP(('Informations Projet'!C41*'Informations Projet'!C43*'Informations Projet'!C42)+('Informations Projet'!D41*'Informations Projet'!D42*'Informations Projet'!D43)+('Informations Projet'!E41*'Informations Projet'!E42*'Informations Projet'!E43)+('Informations Projet'!F41*'Informations Projet'!F42*'Informations Projet'!F43)+('Informations Projet'!G41*'Informations Projet'!G42*'Informations Projet'!G43)+('Informations Projet'!H41*'Informations Projet'!H42*'Informations Projet'!H43),2)</f>
        <v>0</v>
      </c>
      <c r="E28" s="154">
        <f>ROUNDUP((D28*0.07)+D28,2)</f>
        <v>0</v>
      </c>
      <c r="F28" s="37">
        <f>ROUNDUP(0.1*0.04*E28,2)</f>
        <v>0</v>
      </c>
      <c r="G28" s="59">
        <f>ROUNDUP(F28*Récapitulatif!C11,2)</f>
        <v>0</v>
      </c>
    </row>
    <row r="29" spans="2:7" x14ac:dyDescent="0.5">
      <c r="B29" s="74" t="s">
        <v>84</v>
      </c>
      <c r="C29" s="71" t="s">
        <v>74</v>
      </c>
      <c r="D29" s="151">
        <f>ROUNDUP((4*'Informations Projet'!C39*'Informations Projet'!C43)+(4*'Informations Projet'!D39*'Informations Projet'!D43)+(4*'Informations Projet'!E39*'Informations Projet'!E43)+('Informations Projet'!F39*4*'Informations Projet'!F43)+('Informations Projet'!G39*'Informations Projet'!G43*4)+(4*'Informations Projet'!H39*'Informations Projet'!H43),2)</f>
        <v>0</v>
      </c>
      <c r="E29" s="155">
        <f>ROUNDUP((D29*0.07)+D29,2)</f>
        <v>0</v>
      </c>
      <c r="F29" s="151">
        <f>ROUNDUP(0.1*0.04*E29,2)</f>
        <v>0</v>
      </c>
      <c r="G29" s="59">
        <f>ROUNDUP(F29*Récapitulatif!C11,2)</f>
        <v>0</v>
      </c>
    </row>
    <row r="30" spans="2:7" x14ac:dyDescent="0.5">
      <c r="B30" s="246" t="s">
        <v>77</v>
      </c>
      <c r="C30" s="246"/>
      <c r="D30" s="246"/>
      <c r="E30" s="246"/>
      <c r="F30" s="153">
        <f>ROUNDUP(SUM(F27:F29),2)</f>
        <v>0</v>
      </c>
      <c r="G30" s="73">
        <f>ROUNDUP(SUM(G27:G29),2)</f>
        <v>0</v>
      </c>
    </row>
    <row r="31" spans="2:7" x14ac:dyDescent="0.5">
      <c r="B31" s="248" t="s">
        <v>85</v>
      </c>
      <c r="C31" s="248"/>
      <c r="D31" s="248"/>
      <c r="E31" s="248"/>
      <c r="F31" s="248"/>
      <c r="G31" s="248"/>
    </row>
    <row r="32" spans="2:7" ht="15" customHeight="1" x14ac:dyDescent="0.5">
      <c r="B32" s="75" t="s">
        <v>86</v>
      </c>
      <c r="C32" s="76" t="s">
        <v>87</v>
      </c>
      <c r="D32" s="77">
        <f>ROUNDUP(Menuiseries!C31,2)</f>
        <v>0</v>
      </c>
      <c r="E32" s="76" t="s">
        <v>60</v>
      </c>
      <c r="F32" s="78" t="s">
        <v>60</v>
      </c>
      <c r="G32" s="79">
        <f>ROUNDUP(D32*Récapitulatif!C20,2)</f>
        <v>0</v>
      </c>
    </row>
    <row r="33" spans="2:7" x14ac:dyDescent="0.5">
      <c r="B33" s="246" t="s">
        <v>77</v>
      </c>
      <c r="C33" s="246"/>
      <c r="D33" s="246"/>
      <c r="E33" s="246"/>
      <c r="F33" s="80" t="str">
        <f>E32</f>
        <v>-</v>
      </c>
      <c r="G33" s="63">
        <f>ROUNDUP(SUM(G32),2)</f>
        <v>0</v>
      </c>
    </row>
    <row r="37" spans="2:7" x14ac:dyDescent="0.5">
      <c r="G37" s="10"/>
    </row>
  </sheetData>
  <sheetProtection selectLockedCells="1" selectUnlockedCells="1"/>
  <mergeCells count="13">
    <mergeCell ref="B33:E33"/>
    <mergeCell ref="B21:E21"/>
    <mergeCell ref="B22:G22"/>
    <mergeCell ref="B25:E25"/>
    <mergeCell ref="B26:G26"/>
    <mergeCell ref="B30:E30"/>
    <mergeCell ref="B31:G31"/>
    <mergeCell ref="B17:G17"/>
    <mergeCell ref="B2:G2"/>
    <mergeCell ref="B7:G7"/>
    <mergeCell ref="B11:E11"/>
    <mergeCell ref="B12:G12"/>
    <mergeCell ref="B16:E16"/>
  </mergeCells>
  <printOptions horizontalCentered="1" verticalCentered="1"/>
  <pageMargins left="0.70833333333333337" right="0.70833333333333337" top="0.59027777777777779" bottom="1.0284722222222222" header="0.19652777777777777" footer="0.51180555555555551"/>
  <pageSetup paperSize="9" firstPageNumber="0" orientation="landscape" horizontalDpi="300" verticalDpi="300"/>
  <headerFooter alignWithMargins="0">
    <oddHeader>&amp;L&amp;"Calibri,Italique"Barème GREB: 00B0F0&amp;A&amp;C&amp;"-,Italique"000000&amp;D  &amp;T&amp;R&amp;"-,Italique"000000Benoît Fesneau
ben.fesneau@free.fr</oddHeader>
  </headerFooter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B1:L26"/>
  <sheetViews>
    <sheetView showGridLines="0" showRowColHeaders="0" zoomScale="85" zoomScaleNormal="85" workbookViewId="0">
      <selection activeCell="M19" sqref="M19"/>
    </sheetView>
  </sheetViews>
  <sheetFormatPr baseColWidth="10" defaultRowHeight="14.35" x14ac:dyDescent="0.5"/>
  <cols>
    <col min="1" max="1" width="4.5859375" customWidth="1"/>
    <col min="2" max="2" width="29.703125" customWidth="1"/>
    <col min="3" max="3" width="11.703125" customWidth="1"/>
    <col min="4" max="4" width="10.29296875" customWidth="1"/>
    <col min="5" max="5" width="11.87890625" customWidth="1"/>
    <col min="6" max="6" width="11.1171875" customWidth="1"/>
    <col min="7" max="7" width="14.87890625" customWidth="1"/>
    <col min="8" max="8" width="4.703125" customWidth="1"/>
    <col min="11" max="11" width="20.1171875" customWidth="1"/>
  </cols>
  <sheetData>
    <row r="1" spans="2:12" ht="14.7" thickBot="1" x14ac:dyDescent="0.55000000000000004"/>
    <row r="2" spans="2:12" ht="33" customHeight="1" thickTop="1" thickBot="1" x14ac:dyDescent="0.55000000000000004">
      <c r="B2" s="249" t="s">
        <v>195</v>
      </c>
      <c r="C2" s="250"/>
      <c r="D2" s="250"/>
      <c r="E2" s="250"/>
      <c r="F2" s="250"/>
      <c r="G2" s="250"/>
      <c r="H2" s="250"/>
      <c r="I2" s="250"/>
      <c r="J2" s="250"/>
      <c r="K2" s="251"/>
    </row>
    <row r="3" spans="2:12" ht="14.7" thickTop="1" x14ac:dyDescent="0.5"/>
    <row r="4" spans="2:12" ht="16.350000000000001" x14ac:dyDescent="0.5">
      <c r="B4" s="81"/>
      <c r="C4" s="2" t="s">
        <v>0</v>
      </c>
      <c r="D4" s="2" t="s">
        <v>88</v>
      </c>
      <c r="E4" s="82" t="s">
        <v>89</v>
      </c>
      <c r="F4" s="82" t="s">
        <v>9</v>
      </c>
      <c r="G4" s="261" t="s">
        <v>77</v>
      </c>
      <c r="J4" s="257"/>
      <c r="K4" s="257"/>
      <c r="L4" s="257"/>
    </row>
    <row r="5" spans="2:12" x14ac:dyDescent="0.5">
      <c r="B5" s="4" t="s">
        <v>90</v>
      </c>
      <c r="C5" s="258">
        <f>ROUNDUP(IF('Informations Projet'!C53=0,0,1/'Informations Projet'!C53),2)</f>
        <v>0</v>
      </c>
      <c r="D5" s="258"/>
      <c r="E5" s="258"/>
      <c r="F5" s="259"/>
      <c r="G5" s="261"/>
      <c r="J5" s="83"/>
      <c r="K5" s="83"/>
      <c r="L5" s="84"/>
    </row>
    <row r="6" spans="2:12" x14ac:dyDescent="0.5">
      <c r="B6" s="22" t="s">
        <v>91</v>
      </c>
      <c r="C6" s="85">
        <f>ROUNDUP('Informations Projet'!C9*'La Paille &amp; la Quincaillerie '!C5:E5,0)</f>
        <v>0</v>
      </c>
      <c r="D6" s="85">
        <f>ROUNDUP(C5*'Informations Projet'!C15,0)</f>
        <v>0</v>
      </c>
      <c r="E6" s="86">
        <f>ROUNDUP(C5*'Informations Projet'!C21,0)</f>
        <v>0</v>
      </c>
      <c r="F6" s="178">
        <f>ROUNDUP(C5*'Informations Projet'!C30,0)</f>
        <v>0</v>
      </c>
      <c r="G6" s="163">
        <f>ROUNDUP(C6+D6+E6+F6,0)</f>
        <v>0</v>
      </c>
      <c r="J6" s="87"/>
      <c r="K6" s="87"/>
      <c r="L6" s="88"/>
    </row>
    <row r="7" spans="2:12" x14ac:dyDescent="0.5">
      <c r="B7" s="4" t="s">
        <v>92</v>
      </c>
      <c r="C7" s="85">
        <f>ROUNDUP(IF('Informations Projet'!C55=0,0,'Informations Projet'!C10/'Informations Projet'!C55),0)</f>
        <v>0</v>
      </c>
      <c r="D7" s="85">
        <f>ROUNDUP(IF('Informations Projet'!C55=0,0,'Informations Projet'!C16/'Informations Projet'!C55),0)</f>
        <v>0</v>
      </c>
      <c r="E7" s="86">
        <f>ROUNDUP(IF('Informations Projet'!C55=0,0,'Informations Projet'!C22/'Informations Projet'!C55),0)</f>
        <v>0</v>
      </c>
      <c r="F7" s="178">
        <f>ROUNDUP(IF('Informations Projet'!C55=0,0,('Informations Projet'!C29/2*'Informations Projet'!C28)/'Informations Projet'!C55),0)</f>
        <v>0</v>
      </c>
      <c r="G7" s="163">
        <f>ROUNDUP(C7+D7+E7+(F7),0)</f>
        <v>0</v>
      </c>
      <c r="J7" s="89"/>
      <c r="K7" s="89"/>
      <c r="L7" s="90"/>
    </row>
    <row r="8" spans="2:12" x14ac:dyDescent="0.5">
      <c r="B8" s="4" t="s">
        <v>93</v>
      </c>
      <c r="C8" s="252">
        <f>ROUNDUP(IF('Informations Projet'!C56=0,0,(Menuiseries!I10+Menuiseries!I25)/'Informations Projet'!C56),0)</f>
        <v>0</v>
      </c>
      <c r="D8" s="253"/>
      <c r="E8" s="253"/>
      <c r="F8" s="254"/>
      <c r="J8" s="91"/>
      <c r="K8" s="91"/>
      <c r="L8" s="90"/>
    </row>
    <row r="9" spans="2:12" x14ac:dyDescent="0.5">
      <c r="B9" s="181" t="s">
        <v>184</v>
      </c>
      <c r="C9" s="260">
        <v>0.08</v>
      </c>
      <c r="D9" s="260"/>
      <c r="E9" s="260"/>
      <c r="F9" s="260"/>
      <c r="G9" t="s">
        <v>185</v>
      </c>
      <c r="J9" s="91"/>
      <c r="K9" s="91"/>
      <c r="L9" s="90"/>
    </row>
    <row r="10" spans="2:12" x14ac:dyDescent="0.5">
      <c r="B10" s="92" t="s">
        <v>77</v>
      </c>
      <c r="C10" s="93">
        <f>ROUNDUP(C6*C7,0)</f>
        <v>0</v>
      </c>
      <c r="D10" s="93">
        <f>ROUNDUP(D6*D7,0)</f>
        <v>0</v>
      </c>
      <c r="E10" s="86">
        <f>ROUNDUP(E6*E7,0)</f>
        <v>0</v>
      </c>
      <c r="F10" s="85">
        <f>ROUNDUP(((IF(C5=0,0,'Informations Projet'!C30/C5))*(IF('Informations Projet'!C55=0,0,'Informations Projet'!C29/'Informations Projet'!C55)/2))*'Informations Projet'!C28,0)</f>
        <v>0</v>
      </c>
      <c r="G10" s="94">
        <f>ROUNDUP(C9*SUM(C10:F10)+SUM(C10,D10,E10,F10),0)</f>
        <v>0</v>
      </c>
      <c r="J10" s="91"/>
      <c r="K10" s="91"/>
      <c r="L10" s="90"/>
    </row>
    <row r="11" spans="2:12" x14ac:dyDescent="0.5">
      <c r="E11" s="95"/>
      <c r="J11" s="87"/>
      <c r="K11" s="87"/>
      <c r="L11" s="96"/>
    </row>
    <row r="12" spans="2:12" x14ac:dyDescent="0.5">
      <c r="B12" s="161" t="s">
        <v>182</v>
      </c>
      <c r="C12" s="162">
        <f>ROUNDUP('Informations Projet'!E32-Menuiseries!I6-Menuiseries!I21,2)</f>
        <v>0</v>
      </c>
      <c r="E12" s="95"/>
      <c r="J12" s="87"/>
      <c r="K12" s="87"/>
      <c r="L12" s="96"/>
    </row>
    <row r="13" spans="2:12" x14ac:dyDescent="0.5">
      <c r="E13" s="95"/>
      <c r="J13" s="87"/>
      <c r="K13" s="87"/>
      <c r="L13" s="96"/>
    </row>
    <row r="14" spans="2:12" ht="12" customHeight="1" thickBot="1" x14ac:dyDescent="0.85">
      <c r="B14" s="50"/>
      <c r="C14" s="50"/>
      <c r="D14" s="97"/>
      <c r="E14" s="97"/>
      <c r="F14" s="97"/>
      <c r="G14" s="97"/>
    </row>
    <row r="15" spans="2:12" ht="30.75" customHeight="1" thickTop="1" thickBot="1" x14ac:dyDescent="0.55000000000000004">
      <c r="B15" s="249" t="s">
        <v>196</v>
      </c>
      <c r="C15" s="250"/>
      <c r="D15" s="250"/>
      <c r="E15" s="250"/>
      <c r="F15" s="250"/>
      <c r="G15" s="250"/>
      <c r="H15" s="250"/>
      <c r="I15" s="250"/>
      <c r="J15" s="250"/>
      <c r="K15" s="251"/>
    </row>
    <row r="16" spans="2:12" ht="14.7" thickTop="1" x14ac:dyDescent="0.5">
      <c r="B16" s="52"/>
      <c r="C16" s="52"/>
      <c r="D16" s="52"/>
      <c r="E16" s="52"/>
      <c r="F16" s="52"/>
      <c r="G16" s="52"/>
    </row>
    <row r="17" spans="2:11" x14ac:dyDescent="0.5">
      <c r="B17" s="2" t="s">
        <v>94</v>
      </c>
      <c r="C17" s="2" t="s">
        <v>69</v>
      </c>
      <c r="D17" s="2" t="s">
        <v>68</v>
      </c>
      <c r="E17" s="214" t="s">
        <v>95</v>
      </c>
      <c r="F17" s="214"/>
      <c r="G17" s="2" t="s">
        <v>23</v>
      </c>
      <c r="I17" s="214" t="s">
        <v>96</v>
      </c>
      <c r="J17" s="214"/>
      <c r="K17" s="214"/>
    </row>
    <row r="18" spans="2:11" x14ac:dyDescent="0.5">
      <c r="B18" s="67" t="s">
        <v>97</v>
      </c>
      <c r="C18" s="98">
        <f>(ROUNDUP((('Le Bois'!D9+'Le Bois'!D14+'Le Bois'!D19+'Le Bois'!D24)/2.5/2)*(G7-IF(D7=0,1,IF(E7=0,2,3)))*0.4,0))/2.5</f>
        <v>0</v>
      </c>
      <c r="D18" s="60" t="s">
        <v>74</v>
      </c>
      <c r="E18" s="99">
        <v>10</v>
      </c>
      <c r="F18" s="60" t="s">
        <v>98</v>
      </c>
      <c r="G18" s="100">
        <f>ROUNDUP(IF(E18=0,0,C18/E18),0)</f>
        <v>0</v>
      </c>
      <c r="I18" s="99">
        <v>10</v>
      </c>
      <c r="J18" s="60" t="s">
        <v>98</v>
      </c>
    </row>
    <row r="19" spans="2:11" x14ac:dyDescent="0.5">
      <c r="B19" s="255" t="s">
        <v>99</v>
      </c>
      <c r="C19" s="255"/>
      <c r="D19" s="255"/>
      <c r="E19" s="255"/>
      <c r="F19" s="255"/>
      <c r="G19" s="255"/>
      <c r="I19" s="101"/>
      <c r="J19" s="101"/>
    </row>
    <row r="20" spans="2:11" ht="16.350000000000001" x14ac:dyDescent="0.5">
      <c r="B20" s="102" t="s">
        <v>171</v>
      </c>
      <c r="C20" s="103">
        <f>ROUNDUP(15*'Informations Projet'!C9,0)</f>
        <v>0</v>
      </c>
      <c r="D20" s="104" t="s">
        <v>87</v>
      </c>
      <c r="E20" s="105">
        <v>200</v>
      </c>
      <c r="F20" s="104" t="s">
        <v>100</v>
      </c>
      <c r="G20" s="106">
        <f>ROUNDUP(IF(E20=0,0,C20/E20),0)</f>
        <v>0</v>
      </c>
      <c r="I20" s="105">
        <v>200</v>
      </c>
      <c r="J20" s="104" t="s">
        <v>100</v>
      </c>
    </row>
    <row r="21" spans="2:11" x14ac:dyDescent="0.5">
      <c r="B21" s="67" t="s">
        <v>186</v>
      </c>
      <c r="C21" s="98">
        <f>ROUNDUP(Menuiseries!E15*15,0)</f>
        <v>0</v>
      </c>
      <c r="D21" s="60" t="s">
        <v>87</v>
      </c>
      <c r="E21" s="99">
        <v>200</v>
      </c>
      <c r="F21" s="60" t="s">
        <v>100</v>
      </c>
      <c r="G21" s="107">
        <f>ROUNDUP(IF(E21=0,0,C21/E21),0)</f>
        <v>0</v>
      </c>
      <c r="I21" s="99">
        <v>200</v>
      </c>
      <c r="J21" s="60" t="s">
        <v>100</v>
      </c>
    </row>
    <row r="22" spans="2:11" x14ac:dyDescent="0.5">
      <c r="B22" s="108" t="s">
        <v>101</v>
      </c>
      <c r="C22" s="109">
        <f>ROUNDUP(C18/0.4*2,0)</f>
        <v>0</v>
      </c>
      <c r="D22" s="71" t="s">
        <v>87</v>
      </c>
      <c r="E22" s="110">
        <v>200</v>
      </c>
      <c r="F22" s="71" t="s">
        <v>100</v>
      </c>
      <c r="G22" s="111">
        <f>ROUNDUP(IF(E22=0,0,C22/E22),0)</f>
        <v>0</v>
      </c>
      <c r="I22" s="110">
        <v>200</v>
      </c>
      <c r="J22" s="71" t="s">
        <v>100</v>
      </c>
    </row>
    <row r="23" spans="2:11" ht="12.75" customHeight="1" x14ac:dyDescent="0.5">
      <c r="B23" s="256" t="s">
        <v>194</v>
      </c>
      <c r="C23" s="256"/>
      <c r="D23" s="256"/>
      <c r="E23" s="256"/>
      <c r="F23" s="256"/>
      <c r="G23" s="256"/>
      <c r="I23" s="112"/>
      <c r="J23" s="112"/>
    </row>
    <row r="24" spans="2:11" x14ac:dyDescent="0.5">
      <c r="B24" s="69" t="s">
        <v>187</v>
      </c>
      <c r="C24" s="113">
        <f>ROUNDUP(50*Menuiseries!E15,0)</f>
        <v>0</v>
      </c>
      <c r="D24" s="57" t="s">
        <v>87</v>
      </c>
      <c r="E24" s="114">
        <v>1630</v>
      </c>
      <c r="F24" s="57" t="s">
        <v>100</v>
      </c>
      <c r="G24" s="115">
        <f>ROUNDUP(IF(E24=0,0,C24/E24),0)</f>
        <v>0</v>
      </c>
      <c r="I24" s="114">
        <v>1630</v>
      </c>
      <c r="J24" s="57" t="s">
        <v>100</v>
      </c>
      <c r="K24" t="s">
        <v>102</v>
      </c>
    </row>
    <row r="26" spans="2:11" x14ac:dyDescent="0.5">
      <c r="B26" s="116"/>
      <c r="C26" s="117"/>
      <c r="D26" s="117"/>
      <c r="E26" s="118"/>
    </row>
  </sheetData>
  <sheetProtection selectLockedCells="1" selectUnlockedCells="1"/>
  <mergeCells count="11">
    <mergeCell ref="B23:G23"/>
    <mergeCell ref="J4:L4"/>
    <mergeCell ref="C5:F5"/>
    <mergeCell ref="C9:F9"/>
    <mergeCell ref="G4:G5"/>
    <mergeCell ref="B15:K15"/>
    <mergeCell ref="B2:K2"/>
    <mergeCell ref="C8:F8"/>
    <mergeCell ref="E17:F17"/>
    <mergeCell ref="I17:K17"/>
    <mergeCell ref="B19:G19"/>
  </mergeCells>
  <printOptions horizontalCentered="1" verticalCentered="1"/>
  <pageMargins left="0.70833333333333337" right="0.70833333333333337" top="0.97013888888888888" bottom="0.59583333333333333" header="0.31527777777777777" footer="0.51180555555555551"/>
  <pageSetup paperSize="9" firstPageNumber="0" orientation="portrait" horizontalDpi="300" verticalDpi="300" r:id="rId1"/>
  <headerFooter alignWithMargins="0">
    <oddHeader>&amp;L&amp;"-,Italique"Barème GREB: 00B0F0&amp;A&amp;C&amp;"-,Italique"000000&amp;D  &amp;T&amp;R&amp;"-,Italique"000000Benoît Fesneau
ben.fesneau@free.fr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  <pageSetUpPr fitToPage="1"/>
  </sheetPr>
  <dimension ref="B2:K43"/>
  <sheetViews>
    <sheetView showGridLines="0" showRowColHeaders="0" tabSelected="1" zoomScaleNormal="100" workbookViewId="0">
      <selection activeCell="K10" sqref="K10"/>
    </sheetView>
  </sheetViews>
  <sheetFormatPr baseColWidth="10" defaultRowHeight="14.35" x14ac:dyDescent="0.5"/>
  <cols>
    <col min="1" max="1" width="4.703125" customWidth="1"/>
    <col min="2" max="2" width="27.87890625" customWidth="1"/>
    <col min="3" max="3" width="8.703125" bestFit="1" customWidth="1"/>
    <col min="4" max="4" width="14.703125" customWidth="1"/>
    <col min="5" max="5" width="11.5859375" customWidth="1"/>
    <col min="6" max="6" width="8.5859375" customWidth="1"/>
    <col min="7" max="7" width="10.87890625" customWidth="1"/>
    <col min="8" max="8" width="15.1171875" customWidth="1"/>
    <col min="10" max="10" width="5.5859375" customWidth="1"/>
  </cols>
  <sheetData>
    <row r="2" spans="2:11" ht="26.1" customHeight="1" x14ac:dyDescent="0.5">
      <c r="B2" s="266" t="s">
        <v>203</v>
      </c>
      <c r="C2" s="267"/>
      <c r="D2" s="267"/>
      <c r="E2" s="267"/>
    </row>
    <row r="3" spans="2:11" ht="14.7" thickBot="1" x14ac:dyDescent="0.55000000000000004"/>
    <row r="4" spans="2:11" ht="23.25" customHeight="1" thickBot="1" x14ac:dyDescent="0.55000000000000004">
      <c r="B4" s="262" t="s">
        <v>204</v>
      </c>
      <c r="C4" s="262"/>
      <c r="D4" s="262"/>
      <c r="E4" s="262"/>
    </row>
    <row r="5" spans="2:11" ht="11.7" customHeight="1" x14ac:dyDescent="0.5"/>
    <row r="6" spans="2:11" ht="21" customHeight="1" x14ac:dyDescent="0.5">
      <c r="B6" s="2" t="s">
        <v>94</v>
      </c>
      <c r="C6" s="2" t="s">
        <v>103</v>
      </c>
      <c r="D6" s="2" t="s">
        <v>68</v>
      </c>
      <c r="E6" s="119"/>
    </row>
    <row r="7" spans="2:11" ht="16.350000000000001" x14ac:dyDescent="0.5">
      <c r="B7" s="8" t="s">
        <v>104</v>
      </c>
      <c r="C7" s="120"/>
      <c r="D7" s="121" t="s">
        <v>105</v>
      </c>
      <c r="E7" s="122"/>
    </row>
    <row r="8" spans="2:11" ht="16.350000000000001" x14ac:dyDescent="0.5">
      <c r="B8" s="8" t="s">
        <v>61</v>
      </c>
      <c r="C8" s="120"/>
      <c r="D8" s="121" t="s">
        <v>105</v>
      </c>
      <c r="E8" s="122"/>
    </row>
    <row r="9" spans="2:11" x14ac:dyDescent="0.5">
      <c r="B9" s="8" t="s">
        <v>62</v>
      </c>
      <c r="C9" s="120"/>
      <c r="D9" s="121" t="s">
        <v>106</v>
      </c>
      <c r="E9" s="122"/>
    </row>
    <row r="10" spans="2:11" x14ac:dyDescent="0.5">
      <c r="B10" s="8" t="s">
        <v>63</v>
      </c>
      <c r="C10" s="120"/>
      <c r="D10" s="121" t="s">
        <v>106</v>
      </c>
      <c r="E10" s="122"/>
    </row>
    <row r="11" spans="2:11" ht="16.350000000000001" x14ac:dyDescent="0.5">
      <c r="B11" s="8" t="s">
        <v>107</v>
      </c>
      <c r="C11" s="120"/>
      <c r="D11" s="121" t="s">
        <v>105</v>
      </c>
      <c r="E11" s="122"/>
    </row>
    <row r="12" spans="2:11" x14ac:dyDescent="0.5">
      <c r="B12" s="8" t="s">
        <v>108</v>
      </c>
      <c r="C12" s="120"/>
      <c r="D12" s="121" t="s">
        <v>109</v>
      </c>
      <c r="E12" s="122"/>
      <c r="K12" s="19"/>
    </row>
    <row r="13" spans="2:11" x14ac:dyDescent="0.5">
      <c r="B13" s="8" t="s">
        <v>110</v>
      </c>
      <c r="C13" s="120"/>
      <c r="D13" s="121" t="s">
        <v>111</v>
      </c>
      <c r="E13" s="123">
        <f>ROUNDUP('La Paille &amp; la Quincaillerie '!E21,0)</f>
        <v>200</v>
      </c>
      <c r="F13" t="s">
        <v>112</v>
      </c>
      <c r="K13" s="19"/>
    </row>
    <row r="14" spans="2:11" x14ac:dyDescent="0.5">
      <c r="B14" s="8" t="s">
        <v>113</v>
      </c>
      <c r="C14" s="120"/>
      <c r="D14" s="121" t="s">
        <v>111</v>
      </c>
      <c r="E14" s="123">
        <f>ROUNDUP('La Paille &amp; la Quincaillerie '!E20,0)</f>
        <v>200</v>
      </c>
      <c r="F14" t="s">
        <v>112</v>
      </c>
    </row>
    <row r="15" spans="2:11" x14ac:dyDescent="0.5">
      <c r="B15" s="8" t="s">
        <v>101</v>
      </c>
      <c r="C15" s="120"/>
      <c r="D15" s="121" t="s">
        <v>111</v>
      </c>
      <c r="E15" s="123">
        <f>ROUNDUP('La Paille &amp; la Quincaillerie '!E22,0)</f>
        <v>200</v>
      </c>
      <c r="F15" t="s">
        <v>112</v>
      </c>
    </row>
    <row r="16" spans="2:11" x14ac:dyDescent="0.5">
      <c r="B16" s="8" t="s">
        <v>114</v>
      </c>
      <c r="C16" s="120"/>
      <c r="D16" s="121" t="s">
        <v>111</v>
      </c>
      <c r="E16" s="123">
        <f>ROUNDUP('La Paille &amp; la Quincaillerie '!E24,0)</f>
        <v>1630</v>
      </c>
      <c r="F16" t="s">
        <v>115</v>
      </c>
    </row>
    <row r="17" spans="2:6" x14ac:dyDescent="0.5">
      <c r="B17" s="8" t="s">
        <v>97</v>
      </c>
      <c r="C17" s="120"/>
      <c r="D17" s="121" t="s">
        <v>116</v>
      </c>
      <c r="E17" s="157">
        <f>ROUNDUP('La Paille &amp; la Quincaillerie '!E18,0)</f>
        <v>10</v>
      </c>
      <c r="F17" t="s">
        <v>117</v>
      </c>
    </row>
    <row r="18" spans="2:6" x14ac:dyDescent="0.5">
      <c r="B18" s="8" t="s">
        <v>118</v>
      </c>
      <c r="C18" s="120"/>
      <c r="D18" s="159" t="s">
        <v>183</v>
      </c>
      <c r="E18" s="158"/>
      <c r="F18" t="s">
        <v>172</v>
      </c>
    </row>
    <row r="19" spans="2:6" x14ac:dyDescent="0.5">
      <c r="B19" s="8" t="s">
        <v>119</v>
      </c>
      <c r="C19" s="120"/>
      <c r="D19" s="121" t="s">
        <v>120</v>
      </c>
      <c r="E19" s="124"/>
    </row>
    <row r="20" spans="2:6" x14ac:dyDescent="0.5">
      <c r="B20" s="8" t="s">
        <v>121</v>
      </c>
      <c r="C20" s="125"/>
      <c r="D20" s="121" t="s">
        <v>122</v>
      </c>
      <c r="E20" s="123" t="str">
        <f>IF('Informations Projet'!C64="0,68","0,68*2,50","1,25*2,50")</f>
        <v>1,25*2,50</v>
      </c>
      <c r="F20" t="s">
        <v>117</v>
      </c>
    </row>
    <row r="21" spans="2:6" ht="14.7" thickBot="1" x14ac:dyDescent="0.55000000000000004">
      <c r="B21" s="27"/>
      <c r="C21" s="126"/>
      <c r="D21" s="127"/>
      <c r="E21" s="124"/>
    </row>
    <row r="22" spans="2:6" ht="21.75" customHeight="1" thickBot="1" x14ac:dyDescent="0.55000000000000004">
      <c r="B22" s="263" t="s">
        <v>123</v>
      </c>
      <c r="C22" s="263"/>
      <c r="D22" s="263"/>
      <c r="E22" s="263"/>
      <c r="F22" s="128"/>
    </row>
    <row r="23" spans="2:6" ht="24" customHeight="1" x14ac:dyDescent="0.5">
      <c r="B23" s="129" t="s">
        <v>94</v>
      </c>
      <c r="C23" s="129" t="s">
        <v>69</v>
      </c>
      <c r="D23" s="129" t="s">
        <v>68</v>
      </c>
      <c r="E23" s="129" t="s">
        <v>103</v>
      </c>
    </row>
    <row r="24" spans="2:6" ht="16.350000000000001" x14ac:dyDescent="0.5">
      <c r="B24" s="8" t="s">
        <v>124</v>
      </c>
      <c r="C24" s="37">
        <f>ROUNDUP(SUM('Le Bois'!F11,'Le Bois'!F16,'Le Bois'!F21,'Le Bois'!F25,'Le Bois'!F30),2)</f>
        <v>0</v>
      </c>
      <c r="D24" s="26" t="s">
        <v>125</v>
      </c>
      <c r="E24" s="59">
        <f>ROUNDUP(C11*C24,2)</f>
        <v>0</v>
      </c>
    </row>
    <row r="25" spans="2:6" ht="16.350000000000001" x14ac:dyDescent="0.5">
      <c r="B25" s="8" t="s">
        <v>104</v>
      </c>
      <c r="C25" s="37">
        <f>ROUNDUP('Le Mortier'!I15,2)</f>
        <v>0</v>
      </c>
      <c r="D25" s="26" t="s">
        <v>125</v>
      </c>
      <c r="E25" s="64">
        <f>ROUNDUP(C25*C7,2)</f>
        <v>0</v>
      </c>
    </row>
    <row r="26" spans="2:6" ht="16.350000000000001" x14ac:dyDescent="0.5">
      <c r="B26" s="8" t="s">
        <v>61</v>
      </c>
      <c r="C26" s="37">
        <f>ROUNDUP('Le Mortier'!I16,2)</f>
        <v>0</v>
      </c>
      <c r="D26" s="26" t="s">
        <v>125</v>
      </c>
      <c r="E26" s="64">
        <f>ROUNDUP(C26*C8,2)</f>
        <v>0</v>
      </c>
    </row>
    <row r="27" spans="2:6" x14ac:dyDescent="0.5">
      <c r="B27" s="8" t="s">
        <v>62</v>
      </c>
      <c r="C27" s="37">
        <f>ROUNDUP('Le Mortier'!K17,0)</f>
        <v>0</v>
      </c>
      <c r="D27" s="45" t="s">
        <v>126</v>
      </c>
      <c r="E27" s="64">
        <f>ROUNDUP(C27*C9,2)</f>
        <v>0</v>
      </c>
    </row>
    <row r="28" spans="2:6" x14ac:dyDescent="0.5">
      <c r="B28" s="8" t="s">
        <v>63</v>
      </c>
      <c r="C28" s="37">
        <f>ROUNDUP('Le Mortier'!K18,0)</f>
        <v>0</v>
      </c>
      <c r="D28" s="45" t="s">
        <v>126</v>
      </c>
      <c r="E28" s="64">
        <f>ROUNDUP(C10*C28,2)</f>
        <v>0</v>
      </c>
    </row>
    <row r="29" spans="2:6" x14ac:dyDescent="0.5">
      <c r="B29" s="8" t="s">
        <v>127</v>
      </c>
      <c r="C29" s="37">
        <f>ROUNDUP('La Paille &amp; la Quincaillerie '!G10,0)</f>
        <v>0</v>
      </c>
      <c r="D29" s="45" t="s">
        <v>128</v>
      </c>
      <c r="E29" s="64">
        <f>ROUNDUP(C29*C12,2)</f>
        <v>0</v>
      </c>
    </row>
    <row r="30" spans="2:6" ht="24.75" customHeight="1" x14ac:dyDescent="0.5">
      <c r="B30" s="264" t="s">
        <v>129</v>
      </c>
      <c r="C30" s="264"/>
      <c r="D30" s="264"/>
      <c r="E30" s="264"/>
    </row>
    <row r="31" spans="2:6" x14ac:dyDescent="0.5">
      <c r="B31" s="8" t="s">
        <v>97</v>
      </c>
      <c r="C31" s="37">
        <f>ROUNDUP('La Paille &amp; la Quincaillerie '!G18,0)</f>
        <v>0</v>
      </c>
      <c r="D31" s="26" t="s">
        <v>130</v>
      </c>
      <c r="E31" s="130">
        <f>ROUNDUP(C31*C17,2)</f>
        <v>0</v>
      </c>
    </row>
    <row r="32" spans="2:6" x14ac:dyDescent="0.5">
      <c r="B32" s="8" t="s">
        <v>110</v>
      </c>
      <c r="C32" s="44">
        <f>ROUNDUP('La Paille &amp; la Quincaillerie '!G21,0)</f>
        <v>0</v>
      </c>
      <c r="D32" s="45" t="s">
        <v>131</v>
      </c>
      <c r="E32" s="130">
        <f>ROUNDUP(C32*C13,2)</f>
        <v>0</v>
      </c>
    </row>
    <row r="33" spans="2:5" x14ac:dyDescent="0.5">
      <c r="B33" s="8" t="s">
        <v>113</v>
      </c>
      <c r="C33" s="44">
        <f>ROUNDUP('La Paille &amp; la Quincaillerie '!G20,0)</f>
        <v>0</v>
      </c>
      <c r="D33" s="45" t="s">
        <v>131</v>
      </c>
      <c r="E33" s="130">
        <f>ROUNDUP(C33*C14,2)</f>
        <v>0</v>
      </c>
    </row>
    <row r="34" spans="2:5" x14ac:dyDescent="0.5">
      <c r="B34" s="48" t="s">
        <v>101</v>
      </c>
      <c r="C34" s="150">
        <f>ROUNDUP('La Paille &amp; la Quincaillerie '!G22,0)</f>
        <v>0</v>
      </c>
      <c r="D34" s="131" t="s">
        <v>131</v>
      </c>
      <c r="E34" s="132">
        <f>ROUNDUP(C34*C15,2)</f>
        <v>0</v>
      </c>
    </row>
    <row r="35" spans="2:5" x14ac:dyDescent="0.5">
      <c r="B35" s="48" t="s">
        <v>114</v>
      </c>
      <c r="C35" s="61">
        <f>ROUNDUP('La Paille &amp; la Quincaillerie '!G24,0)</f>
        <v>0</v>
      </c>
      <c r="D35" s="131" t="s">
        <v>131</v>
      </c>
      <c r="E35" s="132">
        <f>ROUNDUP(C16*C35,2)</f>
        <v>0</v>
      </c>
    </row>
    <row r="36" spans="2:5" x14ac:dyDescent="0.5">
      <c r="B36" s="8" t="s">
        <v>132</v>
      </c>
      <c r="C36" s="37">
        <f>ROUNDUP('Informations Projet'!C9/0.75,0)</f>
        <v>0</v>
      </c>
      <c r="D36" s="45" t="s">
        <v>133</v>
      </c>
      <c r="E36" s="130">
        <f>ROUNDUP(C36*C18,2)</f>
        <v>0</v>
      </c>
    </row>
    <row r="37" spans="2:5" ht="17.25" customHeight="1" x14ac:dyDescent="0.5">
      <c r="B37" s="22" t="s">
        <v>134</v>
      </c>
      <c r="C37" s="37">
        <f>ROUNDUP('Informations Projet'!C9,0)</f>
        <v>0</v>
      </c>
      <c r="D37" s="26" t="s">
        <v>135</v>
      </c>
      <c r="E37" s="130">
        <f>ROUNDUP(C37*C19,2)</f>
        <v>0</v>
      </c>
    </row>
    <row r="38" spans="2:5" ht="17.25" customHeight="1" x14ac:dyDescent="0.5">
      <c r="B38" s="22" t="s">
        <v>121</v>
      </c>
      <c r="C38" s="37">
        <f>ROUNDUP('Le Bois'!D32,0)</f>
        <v>0</v>
      </c>
      <c r="D38" s="26" t="s">
        <v>136</v>
      </c>
      <c r="E38" s="130">
        <f>ROUNDUP(C38*C20,2)</f>
        <v>0</v>
      </c>
    </row>
    <row r="39" spans="2:5" ht="17.25" customHeight="1" thickBot="1" x14ac:dyDescent="0.55000000000000004">
      <c r="B39" s="133"/>
      <c r="C39" s="134"/>
      <c r="D39" s="134"/>
      <c r="E39" s="135"/>
    </row>
    <row r="40" spans="2:5" ht="52.5" customHeight="1" thickBot="1" x14ac:dyDescent="0.55000000000000004">
      <c r="B40" s="265" t="s">
        <v>137</v>
      </c>
      <c r="C40" s="265"/>
      <c r="D40" s="265"/>
      <c r="E40" s="136">
        <f>ROUNDUP(SUM(E24,E25,E26,E27,E28,E29,E31,E32,E33,E35,E36,E37,E38),2)</f>
        <v>0</v>
      </c>
    </row>
    <row r="43" spans="2:5" x14ac:dyDescent="0.5">
      <c r="B43" s="16" t="s">
        <v>138</v>
      </c>
    </row>
  </sheetData>
  <sheetProtection selectLockedCells="1" selectUnlockedCells="1"/>
  <mergeCells count="5">
    <mergeCell ref="B4:E4"/>
    <mergeCell ref="B22:E22"/>
    <mergeCell ref="B30:E30"/>
    <mergeCell ref="B40:D40"/>
    <mergeCell ref="B2:E2"/>
  </mergeCells>
  <printOptions horizontalCentered="1" verticalCentered="1"/>
  <pageMargins left="0.70833333333333337" right="0.70833333333333337" top="0.95" bottom="1.4875" header="0.31527777777777777" footer="0.51180555555555551"/>
  <pageSetup paperSize="9" firstPageNumber="0" orientation="portrait" horizontalDpi="300" verticalDpi="300" r:id="rId1"/>
  <headerFooter alignWithMargins="0">
    <oddHeader>&amp;L&amp;"-,Italique"Barème GREB: 00B0F0&amp;A01+000&amp;C&amp;"-,Italique"&amp;D , &amp;T&amp;R&amp;"-,Italique"Benoît Fesneau
ben.fesneau@free.fr</oddHead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22"/>
    <pageSetUpPr fitToPage="1"/>
  </sheetPr>
  <dimension ref="B2:M31"/>
  <sheetViews>
    <sheetView workbookViewId="0">
      <selection activeCell="K21" sqref="K21"/>
    </sheetView>
  </sheetViews>
  <sheetFormatPr baseColWidth="10" defaultRowHeight="14.35" x14ac:dyDescent="0.5"/>
  <cols>
    <col min="1" max="1" width="4.703125" customWidth="1"/>
    <col min="2" max="2" width="31.5859375" customWidth="1"/>
    <col min="3" max="3" width="9.5859375" customWidth="1"/>
    <col min="4" max="4" width="10.41015625" customWidth="1"/>
    <col min="5" max="8" width="9.5859375" customWidth="1"/>
    <col min="9" max="9" width="7.41015625" customWidth="1"/>
    <col min="10" max="10" width="4.703125" customWidth="1"/>
  </cols>
  <sheetData>
    <row r="2" spans="2:13" ht="27.75" customHeight="1" x14ac:dyDescent="0.5">
      <c r="B2" s="268" t="s">
        <v>139</v>
      </c>
      <c r="C2" s="268"/>
      <c r="D2" s="268"/>
      <c r="E2" s="268"/>
      <c r="F2" s="268"/>
      <c r="G2" s="268"/>
      <c r="H2" s="268"/>
      <c r="I2" s="268"/>
    </row>
    <row r="3" spans="2:13" ht="27.75" customHeight="1" x14ac:dyDescent="0.5">
      <c r="B3" s="137"/>
      <c r="C3" s="138"/>
      <c r="D3" s="138"/>
      <c r="E3" s="138"/>
      <c r="F3" s="138"/>
      <c r="G3" s="138"/>
      <c r="H3" s="138"/>
      <c r="I3" s="137"/>
    </row>
    <row r="4" spans="2:13" x14ac:dyDescent="0.5">
      <c r="B4" s="81"/>
      <c r="C4" s="6" t="s">
        <v>140</v>
      </c>
      <c r="D4" s="6" t="s">
        <v>141</v>
      </c>
      <c r="E4" s="6" t="s">
        <v>142</v>
      </c>
      <c r="F4" s="6" t="s">
        <v>143</v>
      </c>
      <c r="G4" s="6" t="s">
        <v>144</v>
      </c>
      <c r="H4" s="6" t="s">
        <v>145</v>
      </c>
      <c r="I4" s="172" t="s">
        <v>149</v>
      </c>
      <c r="J4" s="3"/>
      <c r="K4" s="139"/>
    </row>
    <row r="5" spans="2:13" x14ac:dyDescent="0.5">
      <c r="B5" s="8" t="s">
        <v>146</v>
      </c>
      <c r="C5" s="37">
        <f>ROUNDUP('Informations Projet'!C39,2)</f>
        <v>0</v>
      </c>
      <c r="D5" s="37">
        <f>ROUNDUP('Informations Projet'!D39,2)</f>
        <v>0</v>
      </c>
      <c r="E5" s="37">
        <f>ROUNDUP('Informations Projet'!E39,2)</f>
        <v>0</v>
      </c>
      <c r="F5" s="37">
        <f>ROUNDUP('Informations Projet'!F39,2)</f>
        <v>0</v>
      </c>
      <c r="G5" s="37">
        <f>ROUNDUP('Informations Projet'!G39,2)</f>
        <v>0</v>
      </c>
      <c r="H5" s="170">
        <f>ROUNDUP('Informations Projet'!H39,2)</f>
        <v>0</v>
      </c>
      <c r="I5" s="175">
        <f t="shared" ref="I5:I10" si="0">ROUNDUP(SUM(C5:H5),2)</f>
        <v>0</v>
      </c>
    </row>
    <row r="6" spans="2:13" x14ac:dyDescent="0.5">
      <c r="B6" s="8" t="s">
        <v>147</v>
      </c>
      <c r="C6" s="37">
        <f>ROUNDUP('Informations Projet'!C40,2)</f>
        <v>0</v>
      </c>
      <c r="D6" s="37">
        <f>ROUNDUP('Informations Projet'!D40,2)</f>
        <v>0</v>
      </c>
      <c r="E6" s="37">
        <f>ROUNDUP('Informations Projet'!E40,2)</f>
        <v>0</v>
      </c>
      <c r="F6" s="37">
        <f>ROUNDUP('Informations Projet'!F40,2)</f>
        <v>0</v>
      </c>
      <c r="G6" s="37">
        <f>ROUNDUP('Informations Projet'!G40,2)</f>
        <v>0</v>
      </c>
      <c r="H6" s="170">
        <f>ROUNDUP('Informations Projet'!H40,2)</f>
        <v>0</v>
      </c>
      <c r="I6" s="175">
        <f t="shared" si="0"/>
        <v>0</v>
      </c>
    </row>
    <row r="7" spans="2:13" x14ac:dyDescent="0.5">
      <c r="B7" s="22" t="s">
        <v>148</v>
      </c>
      <c r="C7" s="37">
        <f>ROUNDUP(IF('Informations Projet'!$C$54=0,0,'Informations Projet'!$C$54+0.08),2)</f>
        <v>0</v>
      </c>
      <c r="D7" s="37">
        <f>ROUNDUP(IF('Informations Projet'!$C$54=0,0,'Informations Projet'!$C$54+0.08),2)</f>
        <v>0</v>
      </c>
      <c r="E7" s="37">
        <f>ROUNDUP(IF('Informations Projet'!$C$54=0,0,'Informations Projet'!$C$54+0.08),2)</f>
        <v>0</v>
      </c>
      <c r="F7" s="37">
        <f>ROUNDUP(IF('Informations Projet'!$C$54=0,0,'Informations Projet'!$C$54+0.08),2)</f>
        <v>0</v>
      </c>
      <c r="G7" s="37">
        <f>ROUNDUP(IF('Informations Projet'!$C$54=0,0,'Informations Projet'!$C$54+0.08),2)</f>
        <v>0</v>
      </c>
      <c r="H7" s="170">
        <f>ROUNDUP(IF('Informations Projet'!$C$54=0,0,'Informations Projet'!$C$54+0.08),2)</f>
        <v>0</v>
      </c>
      <c r="I7" s="176">
        <f t="shared" si="0"/>
        <v>0</v>
      </c>
    </row>
    <row r="8" spans="2:13" ht="16.350000000000001" x14ac:dyDescent="0.5">
      <c r="B8" s="22" t="s">
        <v>150</v>
      </c>
      <c r="C8" s="140">
        <f>ROUNDUP((((C7-0.08)*C6*'Le Mortier'!I8)+((C7-0.08)*C5*'Le Mortier'!I8))*'Informations Projet'!C43,2)</f>
        <v>0</v>
      </c>
      <c r="D8" s="140">
        <f>ROUNDUP((((D7-0.08)*D6*'Le Mortier'!$I$8)+((D7-0.08)*D5*'Le Mortier'!$I$8))*'Informations Projet'!D43,2)</f>
        <v>0</v>
      </c>
      <c r="E8" s="140">
        <f>ROUNDUP((((E7-0.08)*E6*'Le Mortier'!$I$8)+((E7-0.08)*E5*'Le Mortier'!$I$8))*'Informations Projet'!E43,2)</f>
        <v>0</v>
      </c>
      <c r="F8" s="140">
        <f>ROUNDUP((((F7-0.08)*F6*'Le Mortier'!$I$8)+((F7-0.08)*F5*'Le Mortier'!$I$8))*'Informations Projet'!F43,2)</f>
        <v>0</v>
      </c>
      <c r="G8" s="140">
        <f>ROUNDUP((((G7-0.08)*G6*'Le Mortier'!$I$8)+((G7-0.08)*G5*'Le Mortier'!$I$8))*'Informations Projet'!G43,2)</f>
        <v>0</v>
      </c>
      <c r="H8" s="171">
        <f>ROUNDUP((((H7-0.08)*H6*'Le Mortier'!$I$8)+((H7-0.08)*H5*'Le Mortier'!$I$8))*'Informations Projet'!H43,2)</f>
        <v>0</v>
      </c>
      <c r="I8" s="174">
        <f t="shared" si="0"/>
        <v>0</v>
      </c>
    </row>
    <row r="9" spans="2:13" ht="16.350000000000001" x14ac:dyDescent="0.5">
      <c r="B9" s="22" t="s">
        <v>151</v>
      </c>
      <c r="C9" s="140">
        <f>ROUNDUP((C5*C6*'Le Mortier'!$I$8)*'Informations Projet'!C43,2)</f>
        <v>0</v>
      </c>
      <c r="D9" s="140">
        <f>ROUNDUP((D5*D6*'Le Mortier'!$I$8)*'Informations Projet'!D43,2)</f>
        <v>0</v>
      </c>
      <c r="E9" s="140">
        <f>ROUNDUP((E5*E6*'Le Mortier'!$I$8)*'Informations Projet'!E43,2)</f>
        <v>0</v>
      </c>
      <c r="F9" s="140">
        <f>ROUNDUP((F5*F6*'Le Mortier'!$I$8)*'Informations Projet'!F43,2)</f>
        <v>0</v>
      </c>
      <c r="G9" s="140">
        <f>ROUNDUP((G5*G6*'Le Mortier'!$I$8)*'Informations Projet'!G43,2)</f>
        <v>0</v>
      </c>
      <c r="H9" s="140">
        <f>ROUNDUP((H5*H6*'Le Mortier'!$I$8)*'Informations Projet'!H43,2)</f>
        <v>0</v>
      </c>
      <c r="I9" s="173">
        <f t="shared" si="0"/>
        <v>0</v>
      </c>
    </row>
    <row r="10" spans="2:13" x14ac:dyDescent="0.5">
      <c r="B10" s="22" t="s">
        <v>152</v>
      </c>
      <c r="C10" s="140">
        <f>ROUNDUP(C5*C6*'Informations Projet'!C43,2)</f>
        <v>0</v>
      </c>
      <c r="D10" s="140">
        <f>ROUNDUP(D5*D6*'Informations Projet'!D43,2)</f>
        <v>0</v>
      </c>
      <c r="E10" s="140">
        <f>ROUNDUP(E5*E6*'Informations Projet'!E43,2)</f>
        <v>0</v>
      </c>
      <c r="F10" s="140">
        <f>ROUNDUP(F5*F6*'Informations Projet'!F43,2)</f>
        <v>0</v>
      </c>
      <c r="G10" s="140">
        <f>ROUNDUP(G5*G6*'Informations Projet'!G43,2)</f>
        <v>0</v>
      </c>
      <c r="H10" s="140">
        <f>ROUNDUP(H5*H6*'Informations Projet'!H43,2)</f>
        <v>0</v>
      </c>
      <c r="I10" s="141">
        <f t="shared" si="0"/>
        <v>0</v>
      </c>
    </row>
    <row r="11" spans="2:13" ht="11.25" customHeight="1" x14ac:dyDescent="0.5">
      <c r="B11" s="30"/>
      <c r="C11" s="142"/>
      <c r="D11" s="142"/>
      <c r="E11" s="142"/>
      <c r="F11" s="142"/>
      <c r="G11" s="142"/>
      <c r="H11" s="142"/>
      <c r="I11" s="143"/>
    </row>
    <row r="12" spans="2:13" x14ac:dyDescent="0.5">
      <c r="B12" s="215" t="s">
        <v>153</v>
      </c>
      <c r="C12" s="215"/>
      <c r="D12" s="215"/>
      <c r="E12" s="215"/>
      <c r="F12" s="215"/>
    </row>
    <row r="13" spans="2:13" x14ac:dyDescent="0.5">
      <c r="B13" s="144"/>
      <c r="C13" s="43" t="s">
        <v>0</v>
      </c>
      <c r="D13" s="43" t="s">
        <v>154</v>
      </c>
      <c r="E13" s="43" t="s">
        <v>155</v>
      </c>
      <c r="F13" s="43" t="s">
        <v>9</v>
      </c>
      <c r="M13" s="160"/>
    </row>
    <row r="14" spans="2:13" x14ac:dyDescent="0.5">
      <c r="B14" s="22" t="s">
        <v>156</v>
      </c>
      <c r="C14" s="37">
        <f>ROUNDUP('Informations Projet'!C9*'Informations Projet'!C10,2)</f>
        <v>0</v>
      </c>
      <c r="D14" s="37">
        <f>ROUNDUP('Informations Projet'!C15*'Informations Projet'!C16,2)</f>
        <v>0</v>
      </c>
      <c r="E14" s="37">
        <f>ROUNDUP('Informations Projet'!C21*'Informations Projet'!C22,2)</f>
        <v>0</v>
      </c>
      <c r="F14" s="156">
        <f>ROUNDUP((('Informations Projet'!C29*'Informations Projet'!C30)/2)*'Informations Projet'!C28,2)</f>
        <v>0</v>
      </c>
    </row>
    <row r="15" spans="2:13" x14ac:dyDescent="0.5">
      <c r="B15" s="234" t="s">
        <v>157</v>
      </c>
      <c r="C15" s="234"/>
      <c r="D15" s="234"/>
      <c r="E15" s="141">
        <f>ROUNDUP(SUM(C14,D14,E14,F14),2)</f>
        <v>0</v>
      </c>
    </row>
    <row r="16" spans="2:13" ht="24" customHeight="1" x14ac:dyDescent="0.5"/>
    <row r="17" spans="2:9" ht="33" customHeight="1" x14ac:dyDescent="0.5">
      <c r="B17" s="268" t="s">
        <v>158</v>
      </c>
      <c r="C17" s="268"/>
      <c r="D17" s="268"/>
      <c r="E17" s="268"/>
      <c r="F17" s="268"/>
      <c r="G17" s="268"/>
      <c r="H17" s="268"/>
      <c r="I17" s="268"/>
    </row>
    <row r="18" spans="2:9" ht="27" customHeight="1" x14ac:dyDescent="0.5">
      <c r="B18" s="138"/>
      <c r="C18" s="138"/>
      <c r="D18" s="138"/>
      <c r="E18" s="138"/>
      <c r="F18" s="138"/>
      <c r="G18" s="138"/>
      <c r="H18" s="138"/>
      <c r="I18" s="35"/>
    </row>
    <row r="19" spans="2:9" x14ac:dyDescent="0.5">
      <c r="B19" s="81"/>
      <c r="C19" s="6" t="s">
        <v>159</v>
      </c>
      <c r="D19" s="6" t="s">
        <v>160</v>
      </c>
      <c r="E19" s="6" t="s">
        <v>161</v>
      </c>
      <c r="F19" s="6" t="s">
        <v>162</v>
      </c>
      <c r="G19" s="6" t="s">
        <v>163</v>
      </c>
      <c r="H19" s="6" t="s">
        <v>164</v>
      </c>
      <c r="I19" s="172" t="s">
        <v>149</v>
      </c>
    </row>
    <row r="20" spans="2:9" x14ac:dyDescent="0.5">
      <c r="B20" s="8" t="s">
        <v>146</v>
      </c>
      <c r="C20" s="37">
        <f>ROUNDUP('Informations Projet'!C46,2)</f>
        <v>0</v>
      </c>
      <c r="D20" s="44">
        <f>ROUNDUP('Informations Projet'!D46,2)</f>
        <v>0</v>
      </c>
      <c r="E20" s="44">
        <f>ROUNDUP('Informations Projet'!E46,2)</f>
        <v>0</v>
      </c>
      <c r="F20" s="44">
        <f>ROUNDUP('Informations Projet'!F46,2)</f>
        <v>0</v>
      </c>
      <c r="G20" s="44">
        <f>ROUNDUP('Informations Projet'!G46,2)</f>
        <v>0</v>
      </c>
      <c r="H20" s="177">
        <f>ROUNDUP('Informations Projet'!H46,2)</f>
        <v>0</v>
      </c>
      <c r="I20" s="175">
        <f t="shared" ref="I20:I25" si="1">ROUNDUP(SUM(C20:H20),2)</f>
        <v>0</v>
      </c>
    </row>
    <row r="21" spans="2:9" x14ac:dyDescent="0.5">
      <c r="B21" s="8" t="s">
        <v>147</v>
      </c>
      <c r="C21" s="37">
        <f>ROUNDUP('Informations Projet'!C47,2)</f>
        <v>0</v>
      </c>
      <c r="D21" s="44">
        <f>ROUNDUP('Informations Projet'!D47,2)</f>
        <v>0</v>
      </c>
      <c r="E21" s="44">
        <f>ROUNDUP('Informations Projet'!E47,2)</f>
        <v>0</v>
      </c>
      <c r="F21" s="44">
        <f>ROUNDUP('Informations Projet'!F47,2)</f>
        <v>0</v>
      </c>
      <c r="G21" s="44">
        <f>ROUNDUP('Informations Projet'!G47,2)</f>
        <v>0</v>
      </c>
      <c r="H21" s="177">
        <f>ROUNDUP('Informations Projet'!H47,2)</f>
        <v>0</v>
      </c>
      <c r="I21" s="176">
        <f t="shared" si="1"/>
        <v>0</v>
      </c>
    </row>
    <row r="22" spans="2:9" x14ac:dyDescent="0.5">
      <c r="B22" s="22" t="s">
        <v>165</v>
      </c>
      <c r="C22" s="37">
        <f>ROUNDUP(IF('Informations Projet'!C54=0,0,'Informations Projet'!$C$54+0.08),2)</f>
        <v>0</v>
      </c>
      <c r="D22" s="37">
        <f>ROUNDUP(IF('Informations Projet'!D54=0,0,'Informations Projet'!$C$54+0.08),2)</f>
        <v>0</v>
      </c>
      <c r="E22" s="37">
        <f>ROUNDUP(IF('Informations Projet'!E54=0,0,'Informations Projet'!$C$54+0.08),2)</f>
        <v>0</v>
      </c>
      <c r="F22" s="37">
        <f>ROUNDUP(IF('Informations Projet'!F54=0,0,'Informations Projet'!$C$54+0.08),2)</f>
        <v>0</v>
      </c>
      <c r="G22" s="37">
        <f>ROUNDUP(IF('Informations Projet'!G54=0,0,'Informations Projet'!$C$54+0.08),2)</f>
        <v>0</v>
      </c>
      <c r="H22" s="170">
        <f>ROUNDUP(IF('Informations Projet'!H54=0,0,'Informations Projet'!$C$54+0.08),2)</f>
        <v>0</v>
      </c>
      <c r="I22" s="175">
        <f t="shared" si="1"/>
        <v>0</v>
      </c>
    </row>
    <row r="23" spans="2:9" ht="16.350000000000001" x14ac:dyDescent="0.5">
      <c r="B23" s="22" t="s">
        <v>150</v>
      </c>
      <c r="C23" s="140">
        <f>ROUNDUP(((C21*(C22-0.08)*('Le Mortier'!$I$8/2))+(C20*(C22-0.24)*'Le Mortier'!$I$8))*'Informations Projet'!C48,2)</f>
        <v>0</v>
      </c>
      <c r="D23" s="140">
        <f>ROUNDUP(((D21*(D22-0.08)*('Le Mortier'!$I$8/2))+(D20*(D22-0.24)*'Le Mortier'!$I$8))*'Informations Projet'!D48,2)</f>
        <v>0</v>
      </c>
      <c r="E23" s="140">
        <f>ROUNDUP(((E21*(E22-0.08)*('Le Mortier'!$I$8/2))+(E20*(E22-0.24)*'Le Mortier'!$I$8))*'Informations Projet'!E48,2)</f>
        <v>0</v>
      </c>
      <c r="F23" s="140">
        <f>ROUNDUP(((F21*(F22-0.08)*('Le Mortier'!$I$8/2)+(F20*(F22-0.24)*'Le Mortier'!$I$8))*'Informations Projet'!F48),2)</f>
        <v>0</v>
      </c>
      <c r="G23" s="140">
        <f>ROUNDUP(((G21*(G22-0.08)*('Le Mortier'!$I$8/2))+(G20*(G22-0.24)*'Le Mortier'!$I$8))*'Informations Projet'!G48,2)</f>
        <v>0</v>
      </c>
      <c r="H23" s="140">
        <f>ROUNDUP(((H21*(H22-0.08)*('Le Mortier'!$I$8/2))+(H20*(H22-0.24)*'Le Mortier'!$I$8))*'Informations Projet'!H48,2)</f>
        <v>0</v>
      </c>
      <c r="I23" s="173">
        <f t="shared" si="1"/>
        <v>0</v>
      </c>
    </row>
    <row r="24" spans="2:9" ht="16.350000000000001" x14ac:dyDescent="0.5">
      <c r="B24" s="22" t="s">
        <v>151</v>
      </c>
      <c r="C24" s="140">
        <f>ROUNDUP((C21*C20*'Le Mortier'!$I$8)*'Informations Projet'!C48,2)</f>
        <v>0</v>
      </c>
      <c r="D24" s="140">
        <f>ROUNDUP((D21*D20*'Le Mortier'!$I$8)*'Informations Projet'!D48,2)</f>
        <v>0</v>
      </c>
      <c r="E24" s="140">
        <f>ROUNDUP((E21*E20*'Le Mortier'!$I$8)*'Informations Projet'!E48,2)</f>
        <v>0</v>
      </c>
      <c r="F24" s="140">
        <f>ROUNDUP((F21*F20*'Le Mortier'!$I$8)*'Informations Projet'!F48,2)</f>
        <v>0</v>
      </c>
      <c r="G24" s="140">
        <f>ROUNDUP((G21*G20*'Le Mortier'!$I$8)*'Informations Projet'!G48,2)</f>
        <v>0</v>
      </c>
      <c r="H24" s="140">
        <f>ROUNDUP((H21*H20*'Le Mortier'!$I$8)*'Informations Projet'!H48,2)</f>
        <v>0</v>
      </c>
      <c r="I24" s="141">
        <f t="shared" si="1"/>
        <v>0</v>
      </c>
    </row>
    <row r="25" spans="2:9" x14ac:dyDescent="0.5">
      <c r="B25" s="22" t="s">
        <v>166</v>
      </c>
      <c r="C25" s="140">
        <f>ROUNDUP(C20*C21*'Informations Projet'!C48,2)</f>
        <v>0</v>
      </c>
      <c r="D25" s="140">
        <f>ROUNDUP(D20*D21*'Informations Projet'!D48,2)</f>
        <v>0</v>
      </c>
      <c r="E25" s="140">
        <f>ROUNDUP(E20*E21*'Informations Projet'!E48,2)</f>
        <v>0</v>
      </c>
      <c r="F25" s="140">
        <f>ROUNDUP(F20*F21*'Informations Projet'!F48,2)</f>
        <v>0</v>
      </c>
      <c r="G25" s="140">
        <f>ROUNDUP(G20*G21*'Informations Projet'!G48,2)</f>
        <v>0</v>
      </c>
      <c r="H25" s="140">
        <f>ROUNDUP(H20*H21*'Informations Projet'!H48,2)</f>
        <v>0</v>
      </c>
      <c r="I25" s="141">
        <f t="shared" si="1"/>
        <v>0</v>
      </c>
    </row>
    <row r="27" spans="2:9" ht="16.5" customHeight="1" x14ac:dyDescent="0.5">
      <c r="B27" s="268" t="s">
        <v>85</v>
      </c>
      <c r="C27" s="268"/>
      <c r="D27" s="268"/>
      <c r="E27" s="268"/>
      <c r="F27" s="268"/>
      <c r="G27" s="268"/>
      <c r="H27" s="268"/>
      <c r="I27" s="268"/>
    </row>
    <row r="29" spans="2:9" x14ac:dyDescent="0.5">
      <c r="B29" s="27" t="s">
        <v>167</v>
      </c>
      <c r="C29" s="95">
        <f>ROUNDUP(IF('Informations Projet'!C64&lt;(2*'Informations Projet'!C55+0.1),1,2),0)</f>
        <v>2</v>
      </c>
    </row>
    <row r="30" spans="2:9" x14ac:dyDescent="0.5">
      <c r="B30" s="13" t="s">
        <v>168</v>
      </c>
      <c r="C30" s="95">
        <f>ROUNDUP((2*'Informations Projet'!C9)/'Informations Projet'!C65,0)</f>
        <v>0</v>
      </c>
    </row>
    <row r="31" spans="2:9" x14ac:dyDescent="0.5">
      <c r="B31" s="13" t="s">
        <v>169</v>
      </c>
      <c r="C31" s="95">
        <f>ROUNDUP(C30/C29,0)</f>
        <v>0</v>
      </c>
    </row>
  </sheetData>
  <sheetProtection selectLockedCells="1" selectUnlockedCells="1"/>
  <mergeCells count="5">
    <mergeCell ref="B2:I2"/>
    <mergeCell ref="B12:F12"/>
    <mergeCell ref="B15:D15"/>
    <mergeCell ref="B17:I17"/>
    <mergeCell ref="B27:I27"/>
  </mergeCells>
  <printOptions horizontalCentered="1" verticalCentered="1"/>
  <pageMargins left="0.70833333333333337" right="0.70833333333333337" top="1.1812499999999999" bottom="1.0284722222222222" header="0.31527777777777777" footer="0.51180555555555551"/>
  <pageSetup paperSize="9" firstPageNumber="0" orientation="portrait" horizontalDpi="300" verticalDpi="300"/>
  <headerFooter alignWithMargins="0">
    <oddHeader>&amp;L&amp;"-,Italique"Barème GREB: 00B0F0&amp;A&amp;C&amp;"-,Italique"000000&amp;D  &amp;T&amp;R&amp;"-,Italique"000000Benoît Fesneau
ben.fesneau@free.fr</oddHeader>
  </headerFooter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34"/>
  <sheetViews>
    <sheetView showGridLines="0" zoomScale="70" zoomScaleNormal="70" workbookViewId="0">
      <selection sqref="A1:IV65536"/>
    </sheetView>
  </sheetViews>
  <sheetFormatPr baseColWidth="10" defaultColWidth="11.5859375" defaultRowHeight="14.7" x14ac:dyDescent="0.5"/>
  <cols>
    <col min="1" max="1" width="5.1171875" style="182" customWidth="1"/>
    <col min="2" max="3" width="11.5859375" style="182"/>
    <col min="4" max="4" width="12.703125" style="182" customWidth="1"/>
    <col min="5" max="5" width="9.87890625" style="182" customWidth="1"/>
    <col min="6" max="6" width="11.5859375" style="182"/>
    <col min="7" max="7" width="5.41015625" style="182" customWidth="1"/>
    <col min="8" max="8" width="10" style="182" customWidth="1"/>
    <col min="9" max="9" width="18.29296875" style="182" customWidth="1"/>
    <col min="10" max="16384" width="11.5859375" style="182"/>
  </cols>
  <sheetData>
    <row r="1" spans="2:16" ht="15" thickBot="1" x14ac:dyDescent="0.55000000000000004"/>
    <row r="2" spans="2:16" ht="33" customHeight="1" thickTop="1" thickBot="1" x14ac:dyDescent="0.55000000000000004">
      <c r="C2" s="273" t="s">
        <v>173</v>
      </c>
      <c r="D2" s="274"/>
      <c r="E2" s="274"/>
      <c r="F2" s="274"/>
      <c r="G2" s="274"/>
      <c r="H2" s="274"/>
      <c r="I2" s="274"/>
      <c r="J2" s="274"/>
      <c r="K2" s="274"/>
      <c r="L2" s="274"/>
      <c r="M2" s="275"/>
    </row>
    <row r="3" spans="2:16" ht="15" thickTop="1" x14ac:dyDescent="0.5">
      <c r="C3" s="182" t="s">
        <v>174</v>
      </c>
    </row>
    <row r="4" spans="2:16" ht="23.7" thickBot="1" x14ac:dyDescent="0.8">
      <c r="C4" s="183"/>
    </row>
    <row r="5" spans="2:16" ht="24.75" customHeight="1" thickBot="1" x14ac:dyDescent="0.55000000000000004">
      <c r="B5" s="276" t="s">
        <v>188</v>
      </c>
      <c r="C5" s="276"/>
      <c r="D5" s="276"/>
      <c r="E5" s="184">
        <v>540</v>
      </c>
      <c r="F5" s="185" t="s">
        <v>189</v>
      </c>
      <c r="G5" s="186"/>
    </row>
    <row r="6" spans="2:16" ht="23.25" customHeight="1" thickBot="1" x14ac:dyDescent="0.55000000000000004">
      <c r="B6" s="187"/>
      <c r="C6" s="187"/>
      <c r="D6" s="187"/>
      <c r="E6" s="185"/>
      <c r="F6" s="185"/>
      <c r="G6" s="186"/>
    </row>
    <row r="7" spans="2:16" ht="18.350000000000001" x14ac:dyDescent="0.6">
      <c r="B7" s="277" t="s">
        <v>175</v>
      </c>
      <c r="C7" s="279" t="s">
        <v>176</v>
      </c>
      <c r="D7" s="280"/>
      <c r="E7" s="188">
        <f>ROUNDDOWN(($E$5+10)/70,0)</f>
        <v>7</v>
      </c>
      <c r="F7" s="189" t="s">
        <v>177</v>
      </c>
    </row>
    <row r="8" spans="2:16" ht="18.7" thickBot="1" x14ac:dyDescent="0.65">
      <c r="B8" s="278"/>
      <c r="C8" s="281" t="s">
        <v>178</v>
      </c>
      <c r="D8" s="282"/>
      <c r="E8" s="190">
        <f>($E$5-(10*(E7)))/(E7+1)</f>
        <v>58.75</v>
      </c>
      <c r="F8" s="191" t="s">
        <v>189</v>
      </c>
      <c r="P8" s="192"/>
    </row>
    <row r="9" spans="2:16" ht="18.350000000000001" x14ac:dyDescent="0.6">
      <c r="B9" s="283" t="s">
        <v>179</v>
      </c>
      <c r="C9" s="285" t="s">
        <v>180</v>
      </c>
      <c r="D9" s="286"/>
      <c r="E9" s="193">
        <f>IF(E5&lt;490,E7,IF(E5&gt;1650,E7-2,E7-1))</f>
        <v>6</v>
      </c>
      <c r="F9" s="194" t="s">
        <v>177</v>
      </c>
    </row>
    <row r="10" spans="2:16" ht="18.7" thickBot="1" x14ac:dyDescent="0.65">
      <c r="B10" s="284"/>
      <c r="C10" s="287" t="s">
        <v>178</v>
      </c>
      <c r="D10" s="288"/>
      <c r="E10" s="195">
        <f>($E$5-(10*(E9)))/(E9+1)</f>
        <v>68.571428571428569</v>
      </c>
      <c r="F10" s="196" t="s">
        <v>189</v>
      </c>
    </row>
    <row r="11" spans="2:16" ht="18.350000000000001" x14ac:dyDescent="0.6">
      <c r="B11" s="289"/>
      <c r="C11" s="290"/>
      <c r="D11" s="290"/>
      <c r="E11" s="197"/>
      <c r="F11" s="198"/>
    </row>
    <row r="12" spans="2:16" ht="18.350000000000001" x14ac:dyDescent="0.6">
      <c r="B12" s="289"/>
      <c r="C12" s="290"/>
      <c r="D12" s="290"/>
      <c r="E12" s="199"/>
      <c r="F12" s="198"/>
    </row>
    <row r="13" spans="2:16" ht="45.75" customHeight="1" x14ac:dyDescent="0.5"/>
    <row r="26" spans="3:14" ht="20.25" customHeight="1" x14ac:dyDescent="0.5"/>
    <row r="27" spans="3:14" ht="20.7" x14ac:dyDescent="0.65">
      <c r="F27" s="200" t="s">
        <v>190</v>
      </c>
      <c r="H27" s="201">
        <f>E8</f>
        <v>58.75</v>
      </c>
      <c r="I27" s="202" t="s">
        <v>189</v>
      </c>
      <c r="J27" s="203">
        <f>E7</f>
        <v>7</v>
      </c>
      <c r="K27" s="204" t="s">
        <v>177</v>
      </c>
    </row>
    <row r="28" spans="3:14" ht="20.7" x14ac:dyDescent="0.65">
      <c r="F28" s="200" t="s">
        <v>191</v>
      </c>
      <c r="H28" s="201">
        <f>E10</f>
        <v>68.571428571428569</v>
      </c>
      <c r="I28" s="202" t="s">
        <v>189</v>
      </c>
      <c r="J28" s="203">
        <f>E9</f>
        <v>6</v>
      </c>
      <c r="K28" s="204" t="s">
        <v>177</v>
      </c>
    </row>
    <row r="30" spans="3:14" ht="20.7" x14ac:dyDescent="0.65">
      <c r="G30" s="200" t="s">
        <v>192</v>
      </c>
      <c r="H30" s="204">
        <f>E5</f>
        <v>540</v>
      </c>
      <c r="I30" s="269" t="s">
        <v>189</v>
      </c>
      <c r="J30" s="269"/>
      <c r="K30" s="269"/>
    </row>
    <row r="31" spans="3:14" ht="15" thickBot="1" x14ac:dyDescent="0.55000000000000004"/>
    <row r="32" spans="3:14" ht="15" thickBot="1" x14ac:dyDescent="0.55000000000000004">
      <c r="C32" s="270" t="s">
        <v>193</v>
      </c>
      <c r="D32" s="271"/>
      <c r="E32" s="271"/>
      <c r="F32" s="271"/>
      <c r="G32" s="271"/>
      <c r="H32" s="272"/>
      <c r="I32" s="205"/>
      <c r="J32" s="205"/>
      <c r="K32" s="205"/>
      <c r="L32" s="205"/>
      <c r="M32" s="205"/>
      <c r="N32" s="206"/>
    </row>
    <row r="33" spans="3:14" x14ac:dyDescent="0.5">
      <c r="C33" s="207"/>
      <c r="N33" s="208"/>
    </row>
    <row r="34" spans="3:14" ht="15" thickBot="1" x14ac:dyDescent="0.55000000000000004">
      <c r="C34" s="209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1"/>
    </row>
  </sheetData>
  <mergeCells count="13">
    <mergeCell ref="I30:K30"/>
    <mergeCell ref="C32:H32"/>
    <mergeCell ref="C2:M2"/>
    <mergeCell ref="B5:D5"/>
    <mergeCell ref="B7:B8"/>
    <mergeCell ref="C7:D7"/>
    <mergeCell ref="C8:D8"/>
    <mergeCell ref="B9:B10"/>
    <mergeCell ref="C9:D9"/>
    <mergeCell ref="C10:D10"/>
    <mergeCell ref="B11:B12"/>
    <mergeCell ref="C11:D11"/>
    <mergeCell ref="C12:D12"/>
  </mergeCells>
  <conditionalFormatting sqref="E7:E10 H30 H27:H28 J27:J28">
    <cfRule type="cellIs" dxfId="1" priority="2" stopIfTrue="1" operator="equal">
      <formula>0</formula>
    </cfRule>
  </conditionalFormatting>
  <conditionalFormatting sqref="E9:E10">
    <cfRule type="cellIs" dxfId="0" priority="1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Informations Projet</vt:lpstr>
      <vt:lpstr>Le Mortier</vt:lpstr>
      <vt:lpstr>Le Bois</vt:lpstr>
      <vt:lpstr>La Paille &amp; la Quincaillerie </vt:lpstr>
      <vt:lpstr>Récapitulatif</vt:lpstr>
      <vt:lpstr>Menuiseries</vt:lpstr>
      <vt:lpstr>Feuil1</vt:lpstr>
      <vt:lpstr>'Informations Projet'!Zone_d_impression</vt:lpstr>
      <vt:lpstr>'La Paille &amp; la Quincaillerie '!Zone_d_impression</vt:lpstr>
      <vt:lpstr>'Le Bois'!Zone_d_impression</vt:lpstr>
      <vt:lpstr>'Le Mortier'!Zone_d_impression</vt:lpstr>
      <vt:lpstr>Menuiseries!Zone_d_impression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 Thévard</dc:creator>
  <cp:lastModifiedBy>Jean-Baptiste THEVARD</cp:lastModifiedBy>
  <dcterms:created xsi:type="dcterms:W3CDTF">2017-03-15T16:09:05Z</dcterms:created>
  <dcterms:modified xsi:type="dcterms:W3CDTF">2023-02-07T22:20:21Z</dcterms:modified>
</cp:coreProperties>
</file>